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iter\Documents\"/>
    </mc:Choice>
  </mc:AlternateContent>
  <bookViews>
    <workbookView xWindow="0" yWindow="0" windowWidth="19200" windowHeight="10785" firstSheet="2" activeTab="8"/>
  </bookViews>
  <sheets>
    <sheet name="Sheet1" sheetId="1" state="hidden" r:id="rId1"/>
    <sheet name="Score Card" sheetId="9" r:id="rId2"/>
    <sheet name="Question 1" sheetId="2" r:id="rId3"/>
    <sheet name="Question 2" sheetId="3" r:id="rId4"/>
    <sheet name="Question 3" sheetId="4" r:id="rId5"/>
    <sheet name="Question 4" sheetId="5" r:id="rId6"/>
    <sheet name="Question 5" sheetId="6" r:id="rId7"/>
    <sheet name="Question 6" sheetId="7" r:id="rId8"/>
    <sheet name="Question 7" sheetId="8" r:id="rId9"/>
  </sheets>
  <calcPr calcId="152511"/>
</workbook>
</file>

<file path=xl/calcChain.xml><?xml version="1.0" encoding="utf-8"?>
<calcChain xmlns="http://schemas.openxmlformats.org/spreadsheetml/2006/main">
  <c r="P25" i="2" l="1"/>
  <c r="P26" i="2"/>
  <c r="P15" i="2"/>
  <c r="I25" i="2"/>
  <c r="I15" i="2"/>
  <c r="I7" i="2"/>
  <c r="P7" i="2"/>
  <c r="P9" i="2"/>
  <c r="P34" i="2"/>
  <c r="C7" i="9"/>
  <c r="N5" i="3"/>
  <c r="N6" i="3"/>
  <c r="N10" i="3"/>
  <c r="N13" i="3"/>
  <c r="N15" i="3"/>
  <c r="N18" i="3"/>
  <c r="N21" i="3"/>
  <c r="N23" i="3"/>
  <c r="N28" i="3"/>
  <c r="C8" i="9"/>
  <c r="A73" i="4"/>
  <c r="A74" i="4"/>
  <c r="A78" i="4"/>
  <c r="A81" i="4"/>
  <c r="A80" i="4"/>
  <c r="A82" i="4"/>
  <c r="A83" i="4"/>
  <c r="A88" i="4"/>
  <c r="C9" i="9"/>
  <c r="F24" i="5"/>
  <c r="F31" i="5"/>
  <c r="F10" i="5"/>
  <c r="F17" i="5"/>
  <c r="F34" i="5"/>
  <c r="C10" i="9"/>
  <c r="D25" i="6"/>
  <c r="E25" i="6"/>
  <c r="G25" i="6"/>
  <c r="F25" i="6"/>
  <c r="H25" i="6"/>
  <c r="C25" i="6"/>
  <c r="C11" i="9"/>
  <c r="M10" i="7"/>
  <c r="M12" i="7"/>
  <c r="M14" i="7"/>
  <c r="M16" i="7"/>
  <c r="M18" i="7"/>
  <c r="M24" i="7"/>
  <c r="M26" i="7"/>
  <c r="M28" i="7"/>
  <c r="M30" i="7"/>
  <c r="C12" i="9"/>
  <c r="N9" i="8"/>
  <c r="N10" i="8"/>
  <c r="N15" i="8"/>
  <c r="N23" i="8"/>
  <c r="N30" i="8"/>
  <c r="N24" i="8"/>
  <c r="N25" i="8"/>
  <c r="N26" i="8"/>
  <c r="N27" i="8"/>
  <c r="N35" i="8"/>
  <c r="C13" i="9"/>
  <c r="C4" i="9"/>
  <c r="E18" i="7"/>
  <c r="F18" i="7"/>
  <c r="G18" i="7"/>
  <c r="H18" i="7"/>
  <c r="D18" i="7"/>
  <c r="E16" i="7"/>
  <c r="F16" i="7"/>
  <c r="G16" i="7"/>
  <c r="H16" i="7"/>
  <c r="D16" i="7"/>
  <c r="E14" i="7"/>
  <c r="F14" i="7"/>
  <c r="G14" i="7"/>
  <c r="H14" i="7"/>
  <c r="D14" i="7"/>
  <c r="E12" i="7"/>
  <c r="F12" i="7"/>
  <c r="G12" i="7"/>
  <c r="H12" i="7"/>
  <c r="D12" i="7"/>
  <c r="E10" i="7"/>
  <c r="F10" i="7"/>
  <c r="G10" i="7"/>
  <c r="H10" i="7"/>
  <c r="D10" i="7"/>
  <c r="D21" i="6"/>
  <c r="E21" i="6"/>
  <c r="F21" i="6"/>
  <c r="G21" i="6"/>
  <c r="H21" i="6"/>
  <c r="F8" i="2"/>
  <c r="AL18" i="5"/>
  <c r="AL17" i="5"/>
  <c r="AL16" i="5"/>
  <c r="AL15" i="5"/>
  <c r="AL14" i="5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7" i="1"/>
  <c r="F12" i="1"/>
  <c r="F17" i="1"/>
  <c r="F22" i="1"/>
  <c r="F27" i="1"/>
  <c r="F32" i="1"/>
  <c r="F37" i="1"/>
  <c r="F42" i="1"/>
  <c r="F4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  <c r="G8" i="3"/>
  <c r="G9" i="3"/>
  <c r="G10" i="3"/>
  <c r="G11" i="3"/>
  <c r="G7" i="3"/>
  <c r="F9" i="2"/>
  <c r="F6" i="2"/>
  <c r="F7" i="2"/>
  <c r="F5" i="2"/>
</calcChain>
</file>

<file path=xl/sharedStrings.xml><?xml version="1.0" encoding="utf-8"?>
<sst xmlns="http://schemas.openxmlformats.org/spreadsheetml/2006/main" count="306" uniqueCount="170">
  <si>
    <t>Year</t>
    <phoneticPr fontId="0" type="noConversion"/>
  </si>
  <si>
    <t>Design</t>
  </si>
  <si>
    <t xml:space="preserve">Denver  </t>
  </si>
  <si>
    <t xml:space="preserve">Philadelphia  </t>
  </si>
  <si>
    <t>Oklahoma</t>
  </si>
  <si>
    <t>Michigan</t>
  </si>
  <si>
    <t>Wisconsin</t>
  </si>
  <si>
    <t>Missouri</t>
  </si>
  <si>
    <t>Arkansas</t>
  </si>
  <si>
    <t>Maine</t>
  </si>
  <si>
    <t>Alabama</t>
  </si>
  <si>
    <t>Illinois</t>
  </si>
  <si>
    <t>Florida</t>
  </si>
  <si>
    <t>New Mexico</t>
  </si>
  <si>
    <t>Minnesota</t>
  </si>
  <si>
    <t>Iowa</t>
  </si>
  <si>
    <t>Utah</t>
  </si>
  <si>
    <t>Alaska</t>
  </si>
  <si>
    <t>Montana</t>
  </si>
  <si>
    <t>Texas</t>
  </si>
  <si>
    <t>California</t>
  </si>
  <si>
    <t>Hawaii</t>
  </si>
  <si>
    <t>Arizona</t>
  </si>
  <si>
    <t>South Dakota</t>
  </si>
  <si>
    <t>Nebraska</t>
  </si>
  <si>
    <t>Washington</t>
  </si>
  <si>
    <t>Tennessee</t>
  </si>
  <si>
    <t>Idaho</t>
  </si>
  <si>
    <t>Mississippi</t>
  </si>
  <si>
    <t>Colorado</t>
  </si>
  <si>
    <t>New Jersey</t>
  </si>
  <si>
    <t>Kansas</t>
  </si>
  <si>
    <t>Nevada</t>
  </si>
  <si>
    <t>Wyoming</t>
  </si>
  <si>
    <t>Indiana</t>
  </si>
  <si>
    <t>West Virginia</t>
  </si>
  <si>
    <t>Pennsylvania</t>
  </si>
  <si>
    <t>North Dakota</t>
  </si>
  <si>
    <t>Kentucky</t>
  </si>
  <si>
    <t>Delaware</t>
  </si>
  <si>
    <t>Louisiana</t>
  </si>
  <si>
    <t>Oregon</t>
  </si>
  <si>
    <t>Ohio</t>
  </si>
  <si>
    <t>North Carolina</t>
  </si>
  <si>
    <t>Rhode Island</t>
  </si>
  <si>
    <t>Vermont</t>
  </si>
  <si>
    <t>Georgia</t>
  </si>
  <si>
    <t>New Hampshire</t>
  </si>
  <si>
    <t>Massachusetts</t>
  </si>
  <si>
    <t>Maryland</t>
  </si>
  <si>
    <t>South Carolina</t>
  </si>
  <si>
    <t>New York</t>
  </si>
  <si>
    <t>Virginia</t>
  </si>
  <si>
    <t>Connecticut</t>
  </si>
  <si>
    <t>Total</t>
  </si>
  <si>
    <t>Which State Printed the most Quarters in 1999?</t>
  </si>
  <si>
    <t>Total Quarters</t>
  </si>
  <si>
    <t>Year</t>
  </si>
  <si>
    <t>Which type of chart shows you the percentage of the whole?</t>
  </si>
  <si>
    <t>Which type of chart shows you changes over a period of time?</t>
  </si>
  <si>
    <t>Types of Charts</t>
  </si>
  <si>
    <t xml:space="preserve">Denver Mint  </t>
  </si>
  <si>
    <t>South Carolona</t>
  </si>
  <si>
    <t xml:space="preserve">Philadelphia Mint </t>
  </si>
  <si>
    <t>Which state printed the least amount of Quarters in 1999?</t>
  </si>
  <si>
    <t>Which type of chart is used in the example on the left?</t>
  </si>
  <si>
    <t>From the Philadelphia Mint, how many states had more than 700,000 quarters made in 2000?</t>
  </si>
  <si>
    <t>Put an X next to the years that are less than $3,000,000</t>
  </si>
  <si>
    <t>Which state(s) produced less than 400,000 quarters?</t>
  </si>
  <si>
    <t>Interpret the chart below &amp; answer the questions</t>
  </si>
  <si>
    <t>Interpret the chart below &amp; answer the qustions</t>
  </si>
  <si>
    <t>How Many states had less than 1,000,000 quarters printed in 1999?</t>
  </si>
  <si>
    <t>How many states printed more than 1,000,000 quarters in 1999?</t>
  </si>
  <si>
    <t>Which color represents 
New Jersey?</t>
  </si>
  <si>
    <t>Denver Mint</t>
  </si>
  <si>
    <t>Philadelphia Mint</t>
  </si>
  <si>
    <t>The section of the graph that tells you what the colors represent is called a:</t>
  </si>
  <si>
    <t>WAS</t>
  </si>
  <si>
    <t> 02-03</t>
  </si>
  <si>
    <t> 01-02</t>
  </si>
  <si>
    <t>CHI</t>
  </si>
  <si>
    <t> 97-98</t>
  </si>
  <si>
    <t> 96-97</t>
  </si>
  <si>
    <t> 95-96</t>
  </si>
  <si>
    <t> 94-95</t>
  </si>
  <si>
    <t> 92-93</t>
  </si>
  <si>
    <t> 91-92</t>
  </si>
  <si>
    <t> 90-91</t>
  </si>
  <si>
    <t> 89-90</t>
  </si>
  <si>
    <t> 88-89</t>
  </si>
  <si>
    <t> 87-88</t>
  </si>
  <si>
    <t> 86-87</t>
  </si>
  <si>
    <t> 85-86</t>
  </si>
  <si>
    <t>84-85</t>
  </si>
  <si>
    <t>Points</t>
  </si>
  <si>
    <t>Blocks</t>
  </si>
  <si>
    <t>Steals</t>
  </si>
  <si>
    <t>Assists</t>
  </si>
  <si>
    <t>Total Rebounds</t>
  </si>
  <si>
    <t>Team</t>
  </si>
  <si>
    <t>Michael Jordan Career Statistics</t>
  </si>
  <si>
    <t>Functions</t>
  </si>
  <si>
    <t>Instructions</t>
  </si>
  <si>
    <t>Which Function was used in each column? 
(Don't type in the = button)</t>
  </si>
  <si>
    <t>Look at the Table. Five Functions have been applied to 5 different statistics. Look at the columns and decide which function has been applied to each column. Type the function that was applied to each column.</t>
  </si>
  <si>
    <t>Mexico</t>
  </si>
  <si>
    <t>Australia</t>
  </si>
  <si>
    <t>US</t>
  </si>
  <si>
    <t>Jamaica</t>
  </si>
  <si>
    <t>A</t>
  </si>
  <si>
    <t>B</t>
  </si>
  <si>
    <t>C</t>
  </si>
  <si>
    <t>D</t>
  </si>
  <si>
    <t>E</t>
  </si>
  <si>
    <t>What functions were applied to the following rows?</t>
  </si>
  <si>
    <t>TOTALS</t>
  </si>
  <si>
    <t>IRONMAN WINNERS</t>
  </si>
  <si>
    <t>What would be the result of the following formulas?</t>
  </si>
  <si>
    <t>(D6 + E6)/3</t>
  </si>
  <si>
    <t>(F8*4)+6</t>
  </si>
  <si>
    <t>Kenya</t>
  </si>
  <si>
    <r>
      <t xml:space="preserve">Place an X next to the states that have 700,000 or more quarters made at the </t>
    </r>
    <r>
      <rPr>
        <b/>
        <sz val="18"/>
        <rFont val="Calibri"/>
        <family val="2"/>
        <scheme val="minor"/>
      </rPr>
      <t>Philadelphia Mint</t>
    </r>
    <r>
      <rPr>
        <sz val="18"/>
        <rFont val="Calibri"/>
        <family val="2"/>
        <scheme val="minor"/>
      </rPr>
      <t xml:space="preserve"> in the year 2000</t>
    </r>
  </si>
  <si>
    <r>
      <t xml:space="preserve">Place an X next to the states where the </t>
    </r>
    <r>
      <rPr>
        <b/>
        <sz val="18"/>
        <rFont val="Calibri"/>
        <family val="2"/>
        <scheme val="minor"/>
      </rPr>
      <t>Denver Mint</t>
    </r>
    <r>
      <rPr>
        <sz val="18"/>
        <rFont val="Calibri"/>
        <family val="2"/>
        <scheme val="minor"/>
      </rPr>
      <t xml:space="preserve"> made more quarters than the Philadelphia Mint</t>
    </r>
  </si>
  <si>
    <t>Student Last Name</t>
  </si>
  <si>
    <t>Student First Name</t>
  </si>
  <si>
    <t>Age</t>
  </si>
  <si>
    <t>Grade</t>
  </si>
  <si>
    <t>Jordan</t>
  </si>
  <si>
    <t>Durrant</t>
  </si>
  <si>
    <t>Pippen</t>
  </si>
  <si>
    <t>Cartright</t>
  </si>
  <si>
    <t>Nash</t>
  </si>
  <si>
    <t>Manning</t>
  </si>
  <si>
    <t>Davis</t>
  </si>
  <si>
    <t>Rimando</t>
  </si>
  <si>
    <t>Michael</t>
  </si>
  <si>
    <t>Kevin</t>
  </si>
  <si>
    <t>Scotty</t>
  </si>
  <si>
    <t>Bill</t>
  </si>
  <si>
    <t>Steve</t>
  </si>
  <si>
    <t>Bolt</t>
  </si>
  <si>
    <t>Usain</t>
  </si>
  <si>
    <t>Payton</t>
  </si>
  <si>
    <t>Terrell</t>
  </si>
  <si>
    <t>Nick</t>
  </si>
  <si>
    <t>Which Column controlled the sort?</t>
  </si>
  <si>
    <t>What is the cell location of Kevin?</t>
  </si>
  <si>
    <t>Which column controlled the sort?</t>
  </si>
  <si>
    <t>What is the range of the selected cells?</t>
  </si>
  <si>
    <t>Select the letter that coresponds with the part of the table below</t>
  </si>
  <si>
    <t>Sorting &amp; Tables</t>
  </si>
  <si>
    <t xml:space="preserve">B </t>
  </si>
  <si>
    <t>How many years had less than $3,000,000 in quarters made?</t>
  </si>
  <si>
    <t>(E8+E9)/2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</si>
  <si>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</si>
  <si>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</si>
  <si>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</si>
  <si>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</si>
  <si>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</si>
  <si>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</si>
  <si>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</si>
  <si>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Name</t>
  </si>
  <si>
    <t>Period</t>
  </si>
  <si>
    <t>Score</t>
  </si>
  <si>
    <t>Totals</t>
  </si>
  <si>
    <t>COLUMN</t>
  </si>
  <si>
    <t>ENTIRE TABLE</t>
  </si>
  <si>
    <t>CELL</t>
  </si>
  <si>
    <t>ROW</t>
  </si>
  <si>
    <t>Which chart would not be good for showing you an exact number of quarters produced?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</si>
</sst>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5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8"/>
      <color theme="1"/>
      <name val="Arial"/>
      <family val="2"/>
    </font>
    <font>
      <sz val="26"/>
      <color rgb="FFFF0000"/>
      <name val="Cambria"/>
      <family val="2"/>
      <scheme val="major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2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30"/>
      <color rgb="FFFF0000"/>
      <name val="Cambria"/>
      <family val="1"/>
    </font>
    <font>
      <sz val="26"/>
      <color theme="7" tint="-0.249977111117893"/>
      <name val="Calibri"/>
      <family val="2"/>
      <scheme val="minor"/>
    </font>
    <font>
      <sz val="24"/>
      <color theme="7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3" tint="0.59999389629810485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</cellStyleXfs>
  <cellXfs count="39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4" borderId="0" xfId="0" applyFill="1"/>
    <xf numFmtId="0" fontId="14" fillId="3" borderId="3" xfId="7" applyFont="1" applyBorder="1" applyAlignment="1">
      <alignment horizontal="center" vertical="center"/>
    </xf>
    <xf numFmtId="0" fontId="0" fillId="8" borderId="0" xfId="0" applyFill="1"/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0" borderId="0" xfId="0" applyFill="1"/>
    <xf numFmtId="0" fontId="0" fillId="4" borderId="0" xfId="0" applyFill="1" applyBorder="1" applyAlignment="1">
      <alignment wrapText="1"/>
    </xf>
    <xf numFmtId="0" fontId="0" fillId="14" borderId="0" xfId="0" applyFill="1"/>
    <xf numFmtId="0" fontId="18" fillId="13" borderId="5" xfId="2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horizontal="center"/>
    </xf>
    <xf numFmtId="0" fontId="0" fillId="15" borderId="0" xfId="0" applyFill="1"/>
    <xf numFmtId="0" fontId="10" fillId="15" borderId="30" xfId="6" applyFont="1" applyFill="1" applyBorder="1" applyAlignment="1">
      <alignment horizontal="center" vertical="center"/>
    </xf>
    <xf numFmtId="0" fontId="10" fillId="15" borderId="6" xfId="6" applyFont="1" applyFill="1" applyBorder="1" applyAlignment="1">
      <alignment horizontal="center" vertical="center"/>
    </xf>
    <xf numFmtId="3" fontId="10" fillId="15" borderId="6" xfId="6" applyNumberFormat="1" applyFont="1" applyFill="1" applyBorder="1" applyAlignment="1">
      <alignment horizontal="center" vertical="center"/>
    </xf>
    <xf numFmtId="3" fontId="10" fillId="15" borderId="31" xfId="6" applyNumberFormat="1" applyFont="1" applyFill="1" applyBorder="1" applyAlignment="1">
      <alignment horizontal="center" vertical="center"/>
    </xf>
    <xf numFmtId="0" fontId="10" fillId="15" borderId="23" xfId="6" applyFont="1" applyFill="1" applyBorder="1" applyAlignment="1">
      <alignment horizontal="center" vertical="center"/>
    </xf>
    <xf numFmtId="0" fontId="10" fillId="15" borderId="3" xfId="6" applyFont="1" applyFill="1" applyBorder="1" applyAlignment="1">
      <alignment horizontal="center" vertical="center"/>
    </xf>
    <xf numFmtId="3" fontId="10" fillId="15" borderId="3" xfId="6" applyNumberFormat="1" applyFont="1" applyFill="1" applyBorder="1" applyAlignment="1">
      <alignment horizontal="center" vertical="center"/>
    </xf>
    <xf numFmtId="3" fontId="10" fillId="15" borderId="27" xfId="6" applyNumberFormat="1" applyFont="1" applyFill="1" applyBorder="1" applyAlignment="1">
      <alignment horizontal="center" vertical="center"/>
    </xf>
    <xf numFmtId="0" fontId="10" fillId="15" borderId="24" xfId="6" applyFont="1" applyFill="1" applyBorder="1" applyAlignment="1">
      <alignment horizontal="center" vertical="center"/>
    </xf>
    <xf numFmtId="0" fontId="10" fillId="15" borderId="28" xfId="6" applyFont="1" applyFill="1" applyBorder="1" applyAlignment="1">
      <alignment horizontal="center" vertical="center"/>
    </xf>
    <xf numFmtId="3" fontId="10" fillId="15" borderId="28" xfId="6" applyNumberFormat="1" applyFont="1" applyFill="1" applyBorder="1" applyAlignment="1">
      <alignment horizontal="center" vertical="center"/>
    </xf>
    <xf numFmtId="3" fontId="10" fillId="15" borderId="29" xfId="6" applyNumberFormat="1" applyFont="1" applyFill="1" applyBorder="1" applyAlignment="1">
      <alignment horizontal="center" vertical="center"/>
    </xf>
    <xf numFmtId="0" fontId="24" fillId="12" borderId="21" xfId="4" applyFont="1" applyFill="1" applyBorder="1" applyAlignment="1">
      <alignment horizontal="center" vertical="center"/>
    </xf>
    <xf numFmtId="0" fontId="24" fillId="12" borderId="26" xfId="4" applyFont="1" applyFill="1" applyBorder="1" applyAlignment="1">
      <alignment horizontal="center" vertical="center"/>
    </xf>
    <xf numFmtId="0" fontId="24" fillId="12" borderId="22" xfId="4" applyFont="1" applyFill="1" applyBorder="1" applyAlignment="1">
      <alignment horizontal="center" vertical="center"/>
    </xf>
    <xf numFmtId="165" fontId="0" fillId="10" borderId="0" xfId="1" applyNumberFormat="1" applyFont="1" applyFill="1" applyBorder="1" applyAlignment="1">
      <alignment horizontal="center" vertical="center"/>
    </xf>
    <xf numFmtId="0" fontId="0" fillId="14" borderId="0" xfId="0" applyFill="1" applyAlignment="1"/>
    <xf numFmtId="0" fontId="28" fillId="15" borderId="0" xfId="0" applyFont="1" applyFill="1"/>
    <xf numFmtId="0" fontId="30" fillId="15" borderId="0" xfId="0" applyFont="1" applyFill="1" applyBorder="1"/>
    <xf numFmtId="3" fontId="29" fillId="15" borderId="0" xfId="6" applyNumberFormat="1" applyFont="1" applyFill="1" applyBorder="1" applyAlignment="1">
      <alignment horizontal="center" vertical="center"/>
    </xf>
    <xf numFmtId="0" fontId="28" fillId="15" borderId="0" xfId="0" applyFont="1" applyFill="1" applyBorder="1"/>
    <xf numFmtId="0" fontId="29" fillId="15" borderId="0" xfId="6" applyFont="1" applyFill="1" applyBorder="1" applyAlignment="1">
      <alignment horizontal="center" vertical="center"/>
    </xf>
    <xf numFmtId="0" fontId="12" fillId="21" borderId="35" xfId="0" applyFont="1" applyFill="1" applyBorder="1" applyAlignment="1">
      <alignment horizontal="center" vertical="center"/>
    </xf>
    <xf numFmtId="3" fontId="36" fillId="0" borderId="40" xfId="0" applyNumberFormat="1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164" fontId="36" fillId="0" borderId="4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3" fontId="36" fillId="0" borderId="41" xfId="0" applyNumberFormat="1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164" fontId="36" fillId="0" borderId="42" xfId="0" applyNumberFormat="1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vertical="center" wrapText="1"/>
    </xf>
    <xf numFmtId="0" fontId="37" fillId="14" borderId="0" xfId="0" applyFont="1" applyFill="1" applyAlignment="1">
      <alignment horizontal="center" vertical="center" wrapText="1"/>
    </xf>
    <xf numFmtId="3" fontId="37" fillId="14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horizontal="center" vertical="center" wrapText="1"/>
    </xf>
    <xf numFmtId="0" fontId="39" fillId="0" borderId="45" xfId="5" applyFont="1" applyBorder="1" applyAlignment="1">
      <alignment horizontal="center" vertical="center"/>
    </xf>
    <xf numFmtId="0" fontId="0" fillId="14" borderId="0" xfId="0" applyFill="1" applyBorder="1"/>
    <xf numFmtId="0" fontId="0" fillId="14" borderId="0" xfId="0" applyFill="1" applyBorder="1" applyAlignment="1"/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11" fillId="14" borderId="0" xfId="0" applyFont="1" applyFill="1" applyBorder="1" applyAlignment="1">
      <alignment vertical="center" wrapText="1"/>
    </xf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17" xfId="0" applyFill="1" applyBorder="1"/>
    <xf numFmtId="0" fontId="20" fillId="14" borderId="14" xfId="0" applyFont="1" applyFill="1" applyBorder="1" applyAlignment="1">
      <alignment horizontal="left" vertical="center" wrapText="1" indent="1"/>
    </xf>
    <xf numFmtId="0" fontId="0" fillId="14" borderId="14" xfId="0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left" vertical="center" wrapText="1" indent="2"/>
    </xf>
    <xf numFmtId="0" fontId="0" fillId="14" borderId="14" xfId="0" applyFill="1" applyBorder="1" applyAlignment="1">
      <alignment horizontal="center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vertical="center" wrapText="1"/>
    </xf>
    <xf numFmtId="0" fontId="49" fillId="14" borderId="0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0" fillId="15" borderId="0" xfId="0" applyFont="1" applyFill="1"/>
    <xf numFmtId="0" fontId="53" fillId="15" borderId="0" xfId="0" applyFont="1" applyFill="1" applyAlignment="1">
      <alignment vertical="center"/>
    </xf>
    <xf numFmtId="0" fontId="30" fillId="15" borderId="0" xfId="0" applyFont="1" applyFill="1" applyAlignment="1"/>
    <xf numFmtId="0" fontId="54" fillId="4" borderId="0" xfId="0" applyFont="1" applyFill="1"/>
    <xf numFmtId="0" fontId="54" fillId="8" borderId="0" xfId="0" applyFont="1" applyFill="1"/>
    <xf numFmtId="0" fontId="52" fillId="14" borderId="0" xfId="0" applyFont="1" applyFill="1" applyAlignment="1"/>
    <xf numFmtId="0" fontId="52" fillId="14" borderId="0" xfId="0" applyFont="1" applyFill="1" applyBorder="1" applyAlignment="1"/>
    <xf numFmtId="0" fontId="52" fillId="14" borderId="0" xfId="0" applyFont="1" applyFill="1"/>
    <xf numFmtId="0" fontId="0" fillId="26" borderId="0" xfId="0" applyFill="1"/>
    <xf numFmtId="0" fontId="11" fillId="26" borderId="0" xfId="0" applyFont="1" applyFill="1" applyBorder="1" applyAlignment="1">
      <alignment horizontal="center" vertical="center"/>
    </xf>
    <xf numFmtId="0" fontId="22" fillId="26" borderId="3" xfId="0" applyFont="1" applyFill="1" applyBorder="1" applyAlignment="1">
      <alignment horizontal="left" indent="1"/>
    </xf>
    <xf numFmtId="0" fontId="22" fillId="26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55" fillId="5" borderId="8" xfId="0" applyFont="1" applyFill="1" applyBorder="1" applyAlignment="1">
      <alignment horizontal="center" vertical="center"/>
    </xf>
    <xf numFmtId="0" fontId="55" fillId="5" borderId="9" xfId="0" applyFont="1" applyFill="1" applyBorder="1" applyAlignment="1">
      <alignment horizontal="center" vertical="center"/>
    </xf>
    <xf numFmtId="0" fontId="55" fillId="23" borderId="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26" borderId="32" xfId="0" applyFont="1" applyFill="1" applyBorder="1" applyAlignment="1">
      <alignment horizontal="center" vertical="center"/>
    </xf>
    <xf numFmtId="0" fontId="11" fillId="26" borderId="34" xfId="0" applyFont="1" applyFill="1" applyBorder="1" applyAlignment="1">
      <alignment horizontal="center" vertical="center"/>
    </xf>
    <xf numFmtId="0" fontId="11" fillId="26" borderId="32" xfId="0" applyFont="1" applyFill="1" applyBorder="1" applyAlignment="1" applyProtection="1">
      <alignment horizontal="center" vertical="center"/>
      <protection locked="0"/>
    </xf>
    <xf numFmtId="0" fontId="11" fillId="26" borderId="34" xfId="0" applyFont="1" applyFill="1" applyBorder="1" applyAlignment="1" applyProtection="1">
      <alignment horizontal="center" vertical="center"/>
      <protection locked="0"/>
    </xf>
    <xf numFmtId="0" fontId="16" fillId="26" borderId="32" xfId="0" applyFont="1" applyFill="1" applyBorder="1" applyAlignment="1">
      <alignment horizontal="center" vertical="center"/>
    </xf>
    <xf numFmtId="0" fontId="16" fillId="26" borderId="34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18" borderId="37" xfId="0" applyFont="1" applyFill="1" applyBorder="1" applyAlignment="1">
      <alignment horizontal="center" vertical="center"/>
    </xf>
    <xf numFmtId="0" fontId="26" fillId="18" borderId="38" xfId="0" applyFont="1" applyFill="1" applyBorder="1" applyAlignment="1">
      <alignment horizontal="center" vertical="center"/>
    </xf>
    <xf numFmtId="0" fontId="26" fillId="18" borderId="39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12" fillId="11" borderId="35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left" vertical="center" wrapText="1" indent="1"/>
    </xf>
    <xf numFmtId="0" fontId="31" fillId="13" borderId="20" xfId="0" applyFont="1" applyFill="1" applyBorder="1" applyAlignment="1">
      <alignment horizontal="left" vertical="center" wrapText="1" indent="1"/>
    </xf>
    <xf numFmtId="0" fontId="31" fillId="13" borderId="13" xfId="0" applyFont="1" applyFill="1" applyBorder="1" applyAlignment="1">
      <alignment horizontal="left" vertical="center" wrapText="1" indent="1"/>
    </xf>
    <xf numFmtId="0" fontId="31" fillId="13" borderId="14" xfId="0" applyFont="1" applyFill="1" applyBorder="1" applyAlignment="1">
      <alignment horizontal="left" vertical="center" wrapText="1" indent="1"/>
    </xf>
    <xf numFmtId="0" fontId="31" fillId="13" borderId="15" xfId="0" applyFont="1" applyFill="1" applyBorder="1" applyAlignment="1">
      <alignment horizontal="left" vertical="center" wrapText="1" indent="1"/>
    </xf>
    <xf numFmtId="0" fontId="31" fillId="13" borderId="17" xfId="0" applyFont="1" applyFill="1" applyBorder="1" applyAlignment="1">
      <alignment horizontal="left" vertical="center" wrapText="1" indent="1"/>
    </xf>
    <xf numFmtId="0" fontId="26" fillId="18" borderId="0" xfId="3" applyFont="1" applyFill="1" applyBorder="1" applyAlignment="1">
      <alignment horizontal="center" vertical="center"/>
    </xf>
    <xf numFmtId="0" fontId="32" fillId="0" borderId="35" xfId="0" applyFont="1" applyFill="1" applyBorder="1" applyAlignment="1" applyProtection="1">
      <alignment horizontal="center" vertical="center"/>
      <protection locked="0"/>
    </xf>
    <xf numFmtId="0" fontId="32" fillId="0" borderId="36" xfId="0" applyFont="1" applyFill="1" applyBorder="1" applyAlignment="1" applyProtection="1">
      <alignment horizontal="center" vertical="center"/>
      <protection locked="0"/>
    </xf>
    <xf numFmtId="0" fontId="12" fillId="21" borderId="32" xfId="0" applyFont="1" applyFill="1" applyBorder="1" applyAlignment="1">
      <alignment horizontal="center" vertical="center"/>
    </xf>
    <xf numFmtId="0" fontId="12" fillId="21" borderId="34" xfId="0" applyFont="1" applyFill="1" applyBorder="1" applyAlignment="1">
      <alignment horizontal="center" vertical="center"/>
    </xf>
    <xf numFmtId="0" fontId="12" fillId="21" borderId="35" xfId="0" applyFont="1" applyFill="1" applyBorder="1" applyAlignment="1">
      <alignment horizontal="center" vertical="center"/>
    </xf>
    <xf numFmtId="0" fontId="12" fillId="21" borderId="36" xfId="0" applyFont="1" applyFill="1" applyBorder="1" applyAlignment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2" fillId="10" borderId="18" xfId="0" applyFont="1" applyFill="1" applyBorder="1" applyAlignment="1" applyProtection="1">
      <alignment horizontal="center" vertical="center" wrapText="1"/>
      <protection locked="0"/>
    </xf>
    <xf numFmtId="0" fontId="32" fillId="10" borderId="19" xfId="0" applyFont="1" applyFill="1" applyBorder="1" applyAlignment="1" applyProtection="1">
      <alignment horizontal="center" vertical="center" wrapText="1"/>
      <protection locked="0"/>
    </xf>
    <xf numFmtId="0" fontId="32" fillId="10" borderId="20" xfId="0" applyFont="1" applyFill="1" applyBorder="1" applyAlignment="1" applyProtection="1">
      <alignment horizontal="center" vertical="center" wrapText="1"/>
      <protection locked="0"/>
    </xf>
    <xf numFmtId="0" fontId="32" fillId="10" borderId="13" xfId="0" applyFont="1" applyFill="1" applyBorder="1" applyAlignment="1" applyProtection="1">
      <alignment horizontal="center" vertical="center" wrapText="1"/>
      <protection locked="0"/>
    </xf>
    <xf numFmtId="0" fontId="32" fillId="10" borderId="0" xfId="0" applyFont="1" applyFill="1" applyBorder="1" applyAlignment="1" applyProtection="1">
      <alignment horizontal="center" vertical="center" wrapText="1"/>
      <protection locked="0"/>
    </xf>
    <xf numFmtId="0" fontId="32" fillId="10" borderId="14" xfId="0" applyFont="1" applyFill="1" applyBorder="1" applyAlignment="1" applyProtection="1">
      <alignment horizontal="center" vertical="center" wrapText="1"/>
      <protection locked="0"/>
    </xf>
    <xf numFmtId="0" fontId="32" fillId="10" borderId="15" xfId="0" applyFont="1" applyFill="1" applyBorder="1" applyAlignment="1" applyProtection="1">
      <alignment horizontal="center" vertical="center" wrapText="1"/>
      <protection locked="0"/>
    </xf>
    <xf numFmtId="0" fontId="32" fillId="10" borderId="16" xfId="0" applyFont="1" applyFill="1" applyBorder="1" applyAlignment="1" applyProtection="1">
      <alignment horizontal="center" vertical="center" wrapText="1"/>
      <protection locked="0"/>
    </xf>
    <xf numFmtId="0" fontId="32" fillId="10" borderId="17" xfId="0" applyFont="1" applyFill="1" applyBorder="1" applyAlignment="1" applyProtection="1">
      <alignment horizontal="center" vertical="center" wrapText="1"/>
      <protection locked="0"/>
    </xf>
    <xf numFmtId="0" fontId="21" fillId="13" borderId="1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horizontal="center"/>
    </xf>
    <xf numFmtId="0" fontId="13" fillId="13" borderId="32" xfId="0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center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 applyProtection="1">
      <alignment horizontal="center" vertical="center"/>
      <protection locked="0"/>
    </xf>
    <xf numFmtId="0" fontId="25" fillId="10" borderId="19" xfId="0" applyFont="1" applyFill="1" applyBorder="1" applyAlignment="1" applyProtection="1">
      <alignment horizontal="center" vertical="center"/>
      <protection locked="0"/>
    </xf>
    <xf numFmtId="0" fontId="25" fillId="10" borderId="20" xfId="0" applyFont="1" applyFill="1" applyBorder="1" applyAlignment="1" applyProtection="1">
      <alignment horizontal="center" vertical="center"/>
      <protection locked="0"/>
    </xf>
    <xf numFmtId="0" fontId="25" fillId="10" borderId="13" xfId="0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 applyProtection="1">
      <alignment horizontal="center" vertical="center"/>
      <protection locked="0"/>
    </xf>
    <xf numFmtId="0" fontId="25" fillId="10" borderId="14" xfId="0" applyFont="1" applyFill="1" applyBorder="1" applyAlignment="1" applyProtection="1">
      <alignment horizontal="center" vertical="center"/>
      <protection locked="0"/>
    </xf>
    <xf numFmtId="0" fontId="25" fillId="10" borderId="15" xfId="0" applyFont="1" applyFill="1" applyBorder="1" applyAlignment="1" applyProtection="1">
      <alignment horizontal="center" vertical="center"/>
      <protection locked="0"/>
    </xf>
    <xf numFmtId="0" fontId="25" fillId="10" borderId="16" xfId="0" applyFont="1" applyFill="1" applyBorder="1" applyAlignment="1" applyProtection="1">
      <alignment horizontal="center" vertical="center"/>
      <protection locked="0"/>
    </xf>
    <xf numFmtId="0" fontId="25" fillId="10" borderId="17" xfId="0" applyFont="1" applyFill="1" applyBorder="1" applyAlignment="1" applyProtection="1">
      <alignment horizontal="center" vertical="center"/>
      <protection locked="0"/>
    </xf>
    <xf numFmtId="0" fontId="32" fillId="10" borderId="18" xfId="0" applyFont="1" applyFill="1" applyBorder="1" applyAlignment="1" applyProtection="1">
      <alignment horizontal="center" vertical="center"/>
      <protection locked="0"/>
    </xf>
    <xf numFmtId="0" fontId="32" fillId="10" borderId="19" xfId="0" applyFont="1" applyFill="1" applyBorder="1" applyAlignment="1" applyProtection="1">
      <alignment horizontal="center" vertical="center"/>
      <protection locked="0"/>
    </xf>
    <xf numFmtId="0" fontId="32" fillId="10" borderId="20" xfId="0" applyFont="1" applyFill="1" applyBorder="1" applyAlignment="1" applyProtection="1">
      <alignment horizontal="center" vertical="center"/>
      <protection locked="0"/>
    </xf>
    <xf numFmtId="0" fontId="32" fillId="10" borderId="13" xfId="0" applyFont="1" applyFill="1" applyBorder="1" applyAlignment="1" applyProtection="1">
      <alignment horizontal="center" vertical="center"/>
      <protection locked="0"/>
    </xf>
    <xf numFmtId="0" fontId="32" fillId="10" borderId="0" xfId="0" applyFont="1" applyFill="1" applyBorder="1" applyAlignment="1" applyProtection="1">
      <alignment horizontal="center" vertical="center"/>
      <protection locked="0"/>
    </xf>
    <xf numFmtId="0" fontId="32" fillId="10" borderId="14" xfId="0" applyFont="1" applyFill="1" applyBorder="1" applyAlignment="1" applyProtection="1">
      <alignment horizontal="center" vertical="center"/>
      <protection locked="0"/>
    </xf>
    <xf numFmtId="0" fontId="32" fillId="10" borderId="15" xfId="0" applyFont="1" applyFill="1" applyBorder="1" applyAlignment="1" applyProtection="1">
      <alignment horizontal="center" vertical="center"/>
      <protection locked="0"/>
    </xf>
    <xf numFmtId="0" fontId="32" fillId="10" borderId="16" xfId="0" applyFont="1" applyFill="1" applyBorder="1" applyAlignment="1" applyProtection="1">
      <alignment horizontal="center" vertical="center"/>
      <protection locked="0"/>
    </xf>
    <xf numFmtId="0" fontId="32" fillId="10" borderId="17" xfId="0" applyFont="1" applyFill="1" applyBorder="1" applyAlignment="1" applyProtection="1">
      <alignment horizontal="center" vertical="center"/>
      <protection locked="0"/>
    </xf>
    <xf numFmtId="0" fontId="11" fillId="10" borderId="18" xfId="0" applyFont="1" applyFill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center"/>
      <protection locked="0"/>
    </xf>
    <xf numFmtId="0" fontId="11" fillId="10" borderId="20" xfId="0" applyFont="1" applyFill="1" applyBorder="1" applyAlignment="1" applyProtection="1">
      <alignment horizontal="center" vertical="center"/>
      <protection locked="0"/>
    </xf>
    <xf numFmtId="0" fontId="11" fillId="10" borderId="13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 applyProtection="1">
      <alignment horizontal="center" vertical="center"/>
      <protection locked="0"/>
    </xf>
    <xf numFmtId="0" fontId="11" fillId="10" borderId="14" xfId="0" applyFont="1" applyFill="1" applyBorder="1" applyAlignment="1" applyProtection="1">
      <alignment horizontal="center" vertical="center"/>
      <protection locked="0"/>
    </xf>
    <xf numFmtId="0" fontId="11" fillId="10" borderId="15" xfId="0" applyFont="1" applyFill="1" applyBorder="1" applyAlignment="1" applyProtection="1">
      <alignment horizontal="center" vertical="center"/>
      <protection locked="0"/>
    </xf>
    <xf numFmtId="0" fontId="11" fillId="10" borderId="16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27" fillId="18" borderId="18" xfId="0" applyFont="1" applyFill="1" applyBorder="1" applyAlignment="1">
      <alignment horizontal="center" vertical="center"/>
    </xf>
    <xf numFmtId="0" fontId="27" fillId="18" borderId="19" xfId="0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horizontal="center" vertical="center"/>
    </xf>
    <xf numFmtId="0" fontId="27" fillId="18" borderId="13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14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41" fillId="19" borderId="59" xfId="0" applyFont="1" applyFill="1" applyBorder="1" applyAlignment="1">
      <alignment horizontal="center" vertical="center"/>
    </xf>
    <xf numFmtId="0" fontId="41" fillId="19" borderId="60" xfId="0" applyFont="1" applyFill="1" applyBorder="1" applyAlignment="1">
      <alignment horizontal="center" vertical="center"/>
    </xf>
    <xf numFmtId="0" fontId="41" fillId="19" borderId="61" xfId="0" applyFont="1" applyFill="1" applyBorder="1" applyAlignment="1">
      <alignment horizontal="center" vertical="center"/>
    </xf>
    <xf numFmtId="0" fontId="43" fillId="9" borderId="18" xfId="0" applyFont="1" applyFill="1" applyBorder="1" applyAlignment="1">
      <alignment horizontal="center" vertical="center"/>
    </xf>
    <xf numFmtId="0" fontId="43" fillId="9" borderId="19" xfId="0" applyFont="1" applyFill="1" applyBorder="1" applyAlignment="1">
      <alignment horizontal="center" vertical="center"/>
    </xf>
    <xf numFmtId="0" fontId="43" fillId="9" borderId="20" xfId="0" applyFont="1" applyFill="1" applyBorder="1" applyAlignment="1">
      <alignment horizontal="center" vertical="center"/>
    </xf>
    <xf numFmtId="0" fontId="43" fillId="9" borderId="13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3" fillId="9" borderId="14" xfId="0" applyFont="1" applyFill="1" applyBorder="1" applyAlignment="1">
      <alignment horizontal="center" vertical="center"/>
    </xf>
    <xf numFmtId="0" fontId="43" fillId="9" borderId="15" xfId="0" applyFont="1" applyFill="1" applyBorder="1" applyAlignment="1">
      <alignment horizontal="center" vertical="center"/>
    </xf>
    <xf numFmtId="0" fontId="43" fillId="9" borderId="16" xfId="0" applyFont="1" applyFill="1" applyBorder="1" applyAlignment="1">
      <alignment horizontal="center" vertical="center"/>
    </xf>
    <xf numFmtId="0" fontId="43" fillId="9" borderId="17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left" vertical="center" wrapText="1" indent="1"/>
    </xf>
    <xf numFmtId="0" fontId="13" fillId="0" borderId="52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35" fillId="0" borderId="40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9" borderId="46" xfId="2" applyFont="1" applyFill="1" applyBorder="1" applyAlignment="1">
      <alignment horizontal="center"/>
    </xf>
    <xf numFmtId="0" fontId="38" fillId="9" borderId="47" xfId="2" applyFont="1" applyFill="1" applyBorder="1" applyAlignment="1">
      <alignment horizontal="center"/>
    </xf>
    <xf numFmtId="0" fontId="38" fillId="9" borderId="44" xfId="2" applyFont="1" applyFill="1" applyBorder="1" applyAlignment="1">
      <alignment horizontal="center"/>
    </xf>
    <xf numFmtId="0" fontId="17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23" fillId="16" borderId="48" xfId="0" applyFont="1" applyFill="1" applyBorder="1" applyAlignment="1">
      <alignment horizontal="center" vertical="center"/>
    </xf>
    <xf numFmtId="0" fontId="24" fillId="16" borderId="48" xfId="0" applyFont="1" applyFill="1" applyBorder="1" applyAlignment="1">
      <alignment horizontal="center" vertical="center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44" fillId="22" borderId="67" xfId="0" applyFont="1" applyFill="1" applyBorder="1" applyAlignment="1">
      <alignment horizontal="center" vertical="center" textRotation="90"/>
    </xf>
    <xf numFmtId="0" fontId="44" fillId="22" borderId="68" xfId="0" applyFont="1" applyFill="1" applyBorder="1" applyAlignment="1">
      <alignment horizontal="center" vertical="center" textRotation="90"/>
    </xf>
    <xf numFmtId="0" fontId="44" fillId="22" borderId="69" xfId="0" applyFont="1" applyFill="1" applyBorder="1" applyAlignment="1">
      <alignment horizontal="center" vertical="center" textRotation="90"/>
    </xf>
    <xf numFmtId="0" fontId="45" fillId="10" borderId="70" xfId="0" applyFont="1" applyFill="1" applyBorder="1" applyAlignment="1">
      <alignment horizontal="center" vertical="center"/>
    </xf>
    <xf numFmtId="0" fontId="45" fillId="10" borderId="71" xfId="0" applyFont="1" applyFill="1" applyBorder="1" applyAlignment="1">
      <alignment horizontal="center" vertical="center"/>
    </xf>
    <xf numFmtId="0" fontId="45" fillId="10" borderId="72" xfId="0" applyFont="1" applyFill="1" applyBorder="1" applyAlignment="1">
      <alignment horizontal="center" vertical="center"/>
    </xf>
    <xf numFmtId="0" fontId="45" fillId="10" borderId="73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center" vertical="center"/>
    </xf>
    <xf numFmtId="0" fontId="45" fillId="10" borderId="74" xfId="0" applyFont="1" applyFill="1" applyBorder="1" applyAlignment="1">
      <alignment horizontal="center" vertical="center"/>
    </xf>
    <xf numFmtId="0" fontId="19" fillId="25" borderId="75" xfId="0" applyFont="1" applyFill="1" applyBorder="1" applyAlignment="1">
      <alignment horizontal="center" vertical="center"/>
    </xf>
    <xf numFmtId="0" fontId="46" fillId="20" borderId="75" xfId="0" applyFont="1" applyFill="1" applyBorder="1" applyAlignment="1">
      <alignment horizontal="center" vertical="center"/>
    </xf>
    <xf numFmtId="0" fontId="39" fillId="16" borderId="25" xfId="0" applyFont="1" applyFill="1" applyBorder="1" applyAlignment="1">
      <alignment horizontal="center" vertical="center" wrapText="1"/>
    </xf>
    <xf numFmtId="0" fontId="39" fillId="16" borderId="63" xfId="0" applyFont="1" applyFill="1" applyBorder="1" applyAlignment="1">
      <alignment horizontal="center" vertical="center" wrapText="1"/>
    </xf>
    <xf numFmtId="0" fontId="39" fillId="16" borderId="62" xfId="0" applyFont="1" applyFill="1" applyBorder="1" applyAlignment="1">
      <alignment horizontal="center" vertical="center" wrapText="1"/>
    </xf>
    <xf numFmtId="0" fontId="39" fillId="16" borderId="64" xfId="0" applyFont="1" applyFill="1" applyBorder="1" applyAlignment="1">
      <alignment horizontal="center" vertical="center" wrapText="1"/>
    </xf>
    <xf numFmtId="0" fontId="39" fillId="16" borderId="65" xfId="0" applyFont="1" applyFill="1" applyBorder="1" applyAlignment="1">
      <alignment horizontal="center" vertical="center" wrapText="1"/>
    </xf>
    <xf numFmtId="0" fontId="39" fillId="16" borderId="66" xfId="0" applyFont="1" applyFill="1" applyBorder="1" applyAlignment="1">
      <alignment horizontal="center" vertical="center" wrapText="1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49" fillId="14" borderId="0" xfId="0" applyFont="1" applyFill="1" applyBorder="1" applyAlignment="1">
      <alignment horizontal="center" vertical="center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0" xfId="0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14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center" vertical="center"/>
    </xf>
    <xf numFmtId="0" fontId="20" fillId="18" borderId="37" xfId="0" applyFont="1" applyFill="1" applyBorder="1" applyAlignment="1">
      <alignment horizontal="left" vertical="center" wrapText="1" indent="1"/>
    </xf>
    <xf numFmtId="0" fontId="20" fillId="18" borderId="38" xfId="0" applyFont="1" applyFill="1" applyBorder="1" applyAlignment="1">
      <alignment horizontal="left" vertical="center" wrapText="1" indent="1"/>
    </xf>
    <xf numFmtId="0" fontId="20" fillId="18" borderId="39" xfId="0" applyFont="1" applyFill="1" applyBorder="1" applyAlignment="1">
      <alignment horizontal="left" vertical="center" wrapText="1" indent="1"/>
    </xf>
    <xf numFmtId="0" fontId="20" fillId="18" borderId="18" xfId="0" applyFont="1" applyFill="1" applyBorder="1" applyAlignment="1">
      <alignment horizontal="left" vertical="center" wrapText="1" indent="1"/>
    </xf>
    <xf numFmtId="0" fontId="20" fillId="18" borderId="19" xfId="0" applyFont="1" applyFill="1" applyBorder="1" applyAlignment="1">
      <alignment horizontal="left" vertical="center" wrapText="1" indent="1"/>
    </xf>
    <xf numFmtId="0" fontId="20" fillId="18" borderId="20" xfId="0" applyFont="1" applyFill="1" applyBorder="1" applyAlignment="1">
      <alignment horizontal="left" vertical="center" wrapText="1" indent="1"/>
    </xf>
    <xf numFmtId="0" fontId="20" fillId="6" borderId="37" xfId="0" applyFont="1" applyFill="1" applyBorder="1" applyAlignment="1">
      <alignment horizontal="left" vertical="center" wrapText="1" indent="2"/>
    </xf>
    <xf numFmtId="0" fontId="20" fillId="6" borderId="38" xfId="0" applyFont="1" applyFill="1" applyBorder="1" applyAlignment="1">
      <alignment horizontal="left" vertical="center" wrapText="1" indent="2"/>
    </xf>
    <xf numFmtId="0" fontId="20" fillId="6" borderId="39" xfId="0" applyFont="1" applyFill="1" applyBorder="1" applyAlignment="1">
      <alignment horizontal="left" vertical="center" wrapText="1" indent="2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left" vertical="center" wrapText="1" indent="1"/>
    </xf>
    <xf numFmtId="0" fontId="20" fillId="6" borderId="38" xfId="0" applyFont="1" applyFill="1" applyBorder="1" applyAlignment="1">
      <alignment horizontal="left" vertical="center" wrapText="1" indent="1"/>
    </xf>
    <xf numFmtId="0" fontId="20" fillId="6" borderId="39" xfId="0" applyFont="1" applyFill="1" applyBorder="1" applyAlignment="1">
      <alignment horizontal="left" vertical="center" wrapText="1" indent="1"/>
    </xf>
  </cellXfs>
  <cellStyles count="8">
    <cellStyle name="20% - Accent1" xfId="6" builtinId="30"/>
    <cellStyle name="60% - Accent1" xfId="7" builtinId="32"/>
    <cellStyle name="Currency" xfId="1" builtinId="4"/>
    <cellStyle name="Heading 1" xfId="3" builtinId="16"/>
    <cellStyle name="Heading 2" xfId="4" builtinId="17"/>
    <cellStyle name="Heading 4" xfId="5" builtinId="19"/>
    <cellStyle name="Normal" xfId="0" builtinId="0"/>
    <cellStyle name="Title" xfId="2" builtinId="15"/>
  </cellStyles>
  <dxfs count="8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auto="1"/>
        <name val="Cambria"/>
        <scheme val="major"/>
      </font>
      <fill>
        <patternFill patternType="solid">
          <fgColor indexed="64"/>
          <bgColor theme="3" tint="0.79998168889431442"/>
        </patternFill>
      </fill>
      <alignment horizont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0504D"/>
      <color rgb="FF00B050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000"/>
              <a:t>Total # of Quarters Printed in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1'!$C$5</c:f>
              <c:strCache>
                <c:ptCount val="1"/>
                <c:pt idx="0">
                  <c:v>Connecticut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1'!$F$5</c:f>
              <c:numCache>
                <c:formatCode>#,##0</c:formatCode>
                <c:ptCount val="1"/>
                <c:pt idx="0">
                  <c:v>1346624</c:v>
                </c:pt>
              </c:numCache>
            </c:numRef>
          </c:val>
        </c:ser>
        <c:ser>
          <c:idx val="1"/>
          <c:order val="1"/>
          <c:tx>
            <c:strRef>
              <c:f>'Question 1'!$C$6</c:f>
              <c:strCache>
                <c:ptCount val="1"/>
                <c:pt idx="0">
                  <c:v>Delaware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1'!$F$6</c:f>
              <c:numCache>
                <c:formatCode>#,##0</c:formatCode>
                <c:ptCount val="1"/>
                <c:pt idx="0">
                  <c:v>1024824</c:v>
                </c:pt>
              </c:numCache>
            </c:numRef>
          </c:val>
        </c:ser>
        <c:ser>
          <c:idx val="2"/>
          <c:order val="2"/>
          <c:tx>
            <c:strRef>
              <c:f>'Question 1'!$C$7</c:f>
              <c:strCache>
                <c:ptCount val="1"/>
                <c:pt idx="0">
                  <c:v>Georgia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1'!$F$7</c:f>
              <c:numCache>
                <c:formatCode>#,##0</c:formatCode>
                <c:ptCount val="1"/>
                <c:pt idx="0">
                  <c:v>839932</c:v>
                </c:pt>
              </c:numCache>
            </c:numRef>
          </c:val>
        </c:ser>
        <c:ser>
          <c:idx val="3"/>
          <c:order val="3"/>
          <c:tx>
            <c:strRef>
              <c:f>'Question 1'!$C$8</c:f>
              <c:strCache>
                <c:ptCount val="1"/>
                <c:pt idx="0">
                  <c:v>New Jersey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1'!$F$8</c:f>
              <c:numCache>
                <c:formatCode>#,##0</c:formatCode>
                <c:ptCount val="1"/>
                <c:pt idx="0">
                  <c:v>1162228</c:v>
                </c:pt>
              </c:numCache>
            </c:numRef>
          </c:val>
        </c:ser>
        <c:ser>
          <c:idx val="4"/>
          <c:order val="4"/>
          <c:tx>
            <c:strRef>
              <c:f>'Question 1'!$C$9</c:f>
              <c:strCache>
                <c:ptCount val="1"/>
                <c:pt idx="0">
                  <c:v>Pennsylvania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1'!$F$9</c:f>
              <c:numCache>
                <c:formatCode>#,##0</c:formatCode>
                <c:ptCount val="1"/>
                <c:pt idx="0">
                  <c:v>907332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1747504"/>
        <c:axId val="371749744"/>
      </c:barChart>
      <c:catAx>
        <c:axId val="3717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49744"/>
        <c:crosses val="autoZero"/>
        <c:auto val="1"/>
        <c:lblAlgn val="ctr"/>
        <c:lblOffset val="100"/>
        <c:noMultiLvlLbl val="0"/>
      </c:catAx>
      <c:valAx>
        <c:axId val="3717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28575"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400"/>
              <a:t>Total Quarters Minted in 2000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2'!$E$6</c:f>
              <c:strCache>
                <c:ptCount val="1"/>
                <c:pt idx="0">
                  <c:v>Denver Mint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'Question 2'!$D$7:$D$11</c:f>
              <c:strCache>
                <c:ptCount val="5"/>
                <c:pt idx="0">
                  <c:v>New Hampshire</c:v>
                </c:pt>
                <c:pt idx="1">
                  <c:v>Massachusetts</c:v>
                </c:pt>
                <c:pt idx="2">
                  <c:v>Maryland</c:v>
                </c:pt>
                <c:pt idx="3">
                  <c:v>South Carolina</c:v>
                </c:pt>
                <c:pt idx="4">
                  <c:v>Virginia</c:v>
                </c:pt>
              </c:strCache>
            </c:strRef>
          </c:cat>
          <c:val>
            <c:numRef>
              <c:f>'Question 2'!$E$7:$E$11</c:f>
              <c:numCache>
                <c:formatCode>#,##0</c:formatCode>
                <c:ptCount val="5"/>
                <c:pt idx="0">
                  <c:v>895976</c:v>
                </c:pt>
                <c:pt idx="1">
                  <c:v>495184</c:v>
                </c:pt>
                <c:pt idx="2">
                  <c:v>756532</c:v>
                </c:pt>
                <c:pt idx="3">
                  <c:v>866208</c:v>
                </c:pt>
                <c:pt idx="4">
                  <c:v>651616</c:v>
                </c:pt>
              </c:numCache>
            </c:numRef>
          </c:val>
        </c:ser>
        <c:ser>
          <c:idx val="1"/>
          <c:order val="1"/>
          <c:tx>
            <c:strRef>
              <c:f>'Question 2'!$F$6</c:f>
              <c:strCache>
                <c:ptCount val="1"/>
                <c:pt idx="0">
                  <c:v>Philadelphia Mint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'Question 2'!$D$7:$D$11</c:f>
              <c:strCache>
                <c:ptCount val="5"/>
                <c:pt idx="0">
                  <c:v>New Hampshire</c:v>
                </c:pt>
                <c:pt idx="1">
                  <c:v>Massachusetts</c:v>
                </c:pt>
                <c:pt idx="2">
                  <c:v>Maryland</c:v>
                </c:pt>
                <c:pt idx="3">
                  <c:v>South Carolina</c:v>
                </c:pt>
                <c:pt idx="4">
                  <c:v>Virginia</c:v>
                </c:pt>
              </c:strCache>
            </c:strRef>
          </c:cat>
          <c:val>
            <c:numRef>
              <c:f>'Question 2'!$F$7:$F$11</c:f>
              <c:numCache>
                <c:formatCode>#,##0</c:formatCode>
                <c:ptCount val="5"/>
                <c:pt idx="0">
                  <c:v>673040</c:v>
                </c:pt>
                <c:pt idx="1">
                  <c:v>728600</c:v>
                </c:pt>
                <c:pt idx="2">
                  <c:v>618200</c:v>
                </c:pt>
                <c:pt idx="3">
                  <c:v>742576</c:v>
                </c:pt>
                <c:pt idx="4">
                  <c:v>943000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1739664"/>
        <c:axId val="371748624"/>
      </c:barChart>
      <c:catAx>
        <c:axId val="37173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48624"/>
        <c:crosses val="autoZero"/>
        <c:auto val="1"/>
        <c:lblAlgn val="ctr"/>
        <c:lblOffset val="100"/>
        <c:noMultiLvlLbl val="0"/>
      </c:catAx>
      <c:valAx>
        <c:axId val="3717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28575"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75031003025793"/>
          <c:y val="5.420289855072466E-2"/>
          <c:w val="0.89524968996974208"/>
          <c:h val="0.75035913989012248"/>
        </c:manualLayout>
      </c:layout>
      <c:lineChart>
        <c:grouping val="standard"/>
        <c:varyColors val="0"/>
        <c:ser>
          <c:idx val="0"/>
          <c:order val="0"/>
          <c:tx>
            <c:strRef>
              <c:f>'Question 3'!$K$57</c:f>
              <c:strCache>
                <c:ptCount val="1"/>
                <c:pt idx="0">
                  <c:v>Total Quarters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'Question 3'!$J$58:$J$67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'Question 3'!$K$58:$K$67</c:f>
              <c:numCache>
                <c:formatCode>"$"#,##0.00</c:formatCode>
                <c:ptCount val="10"/>
                <c:pt idx="0">
                  <c:v>4430940</c:v>
                </c:pt>
                <c:pt idx="1">
                  <c:v>6470932</c:v>
                </c:pt>
                <c:pt idx="2">
                  <c:v>4806984</c:v>
                </c:pt>
                <c:pt idx="3">
                  <c:v>4313704</c:v>
                </c:pt>
                <c:pt idx="4">
                  <c:v>2280400</c:v>
                </c:pt>
                <c:pt idx="5">
                  <c:v>4401600</c:v>
                </c:pt>
                <c:pt idx="6">
                  <c:v>3313600</c:v>
                </c:pt>
                <c:pt idx="7">
                  <c:v>3128800</c:v>
                </c:pt>
                <c:pt idx="8">
                  <c:v>2512440</c:v>
                </c:pt>
                <c:pt idx="9">
                  <c:v>2438200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55552"/>
        <c:axId val="323256672"/>
      </c:lineChart>
      <c:catAx>
        <c:axId val="3232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56672"/>
        <c:crosses val="autoZero"/>
        <c:auto val="1"/>
        <c:lblAlgn val="ctr"/>
        <c:lblOffset val="100"/>
        <c:noMultiLvlLbl val="0"/>
      </c:catAx>
      <c:valAx>
        <c:axId val="3232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5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27361952"/>
        <c:axId val="323257232"/>
      </c:lineChart>
      <c:valAx>
        <c:axId val="3232572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61952"/>
        <c:crosses val="autoZero"/>
        <c:crossBetween val="between"/>
      </c:valAx>
      <c:catAx>
        <c:axId val="2273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57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120631792"/>
        <c:axId val="227360272"/>
      </c:barChart>
      <c:valAx>
        <c:axId val="227360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31792"/>
        <c:crosses val="autoZero"/>
        <c:crossBetween val="between"/>
      </c:valAx>
      <c:catAx>
        <c:axId val="120631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6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Quarters Produced</a:t>
            </a:r>
            <a:r>
              <a:rPr lang="en-US"/>
              <a:t>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18498176"/>
        <c:axId val="218499296"/>
      </c:barChart>
      <c:catAx>
        <c:axId val="2184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99296"/>
        <c:crosses val="autoZero"/>
        <c:auto val="1"/>
        <c:lblAlgn val="ctr"/>
        <c:lblOffset val="100"/>
        <c:noMultiLvlLbl val="0"/>
      </c:catAx>
      <c:valAx>
        <c:axId val="2184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6</xdr:row>
      <xdr:rowOff>68580</xdr:rowOff>
    </xdr:from>
    <xdr:to>
      <xdr:col>10</xdr:col>
      <xdr:colOff>45720</xdr:colOff>
      <xdr:row>12</xdr:row>
      <xdr:rowOff>83820</xdr:rowOff>
    </xdr:to>
    <xdr:sp macro="" textlink="">
      <xdr:nvSpPr>
        <xdr:cNvPr id="2" name="TextBox 1"/>
        <xdr:cNvSpPr txBox="1"/>
      </xdr:nvSpPr>
      <xdr:spPr>
        <a:xfrm>
          <a:off x="3383280" y="1203960"/>
          <a:ext cx="3611880" cy="1798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INSTRUCTIONS</a:t>
          </a:r>
        </a:p>
        <a:p>
          <a:pPr algn="ctr"/>
          <a:endParaRPr lang="en-US" sz="1100" b="1"/>
        </a:p>
        <a:p>
          <a:pPr algn="l"/>
          <a:r>
            <a:rPr lang="en-US" sz="1100" b="0"/>
            <a:t>1. Type in your name and period</a:t>
          </a:r>
        </a:p>
        <a:p>
          <a:pPr algn="l"/>
          <a:r>
            <a:rPr lang="en-US" sz="1100" b="0"/>
            <a:t>2. Click on the worksheets below</a:t>
          </a:r>
          <a:r>
            <a:rPr lang="en-US" sz="1100" b="0" baseline="0"/>
            <a:t> (there are 7 worksheets)</a:t>
          </a:r>
        </a:p>
        <a:p>
          <a:pPr algn="l"/>
          <a:r>
            <a:rPr lang="en-US" sz="1100" b="0" baseline="0"/>
            <a:t>3. Make sure you answer each question correctly (they will     turn green when you anwer correctly)</a:t>
          </a:r>
        </a:p>
        <a:p>
          <a:pPr algn="l"/>
          <a:r>
            <a:rPr lang="en-US" sz="1100" b="0" baseline="0"/>
            <a:t>4. Print off this score sheet only</a:t>
          </a:r>
        </a:p>
        <a:p>
          <a:pPr algn="l"/>
          <a:r>
            <a:rPr lang="en-US" sz="1100" b="0" baseline="0"/>
            <a:t>5. Turn in to the basket</a:t>
          </a:r>
        </a:p>
        <a:p>
          <a:pPr algn="l"/>
          <a:r>
            <a:rPr lang="en-US" sz="1100" b="0" baseline="0"/>
            <a:t>6. Save: period_lastname_firstname_analyzingcharts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1701</xdr:colOff>
      <xdr:row>2</xdr:row>
      <xdr:rowOff>159883</xdr:rowOff>
    </xdr:from>
    <xdr:to>
      <xdr:col>6</xdr:col>
      <xdr:colOff>399709</xdr:colOff>
      <xdr:row>28</xdr:row>
      <xdr:rowOff>81643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548367</xdr:colOff>
      <xdr:row>4</xdr:row>
      <xdr:rowOff>13607</xdr:rowOff>
    </xdr:from>
    <xdr:to>
      <xdr:col>8</xdr:col>
      <xdr:colOff>386443</xdr:colOff>
      <xdr:row>26</xdr:row>
      <xdr:rowOff>27214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595311</xdr:colOff>
      <xdr:row>54</xdr:row>
      <xdr:rowOff>180975</xdr:rowOff>
    </xdr:from>
    <xdr:to>
      <xdr:col>12</xdr:col>
      <xdr:colOff>19050</xdr:colOff>
      <xdr:row>70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308882</xdr:colOff>
      <xdr:row>6</xdr:row>
      <xdr:rowOff>7484</xdr:rowOff>
    </xdr:from>
    <xdr:to>
      <xdr:col>17</xdr:col>
      <xdr:colOff>42334</xdr:colOff>
      <xdr:row>18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408214</xdr:colOff>
      <xdr:row>20</xdr:row>
      <xdr:rowOff>27216</xdr:rowOff>
    </xdr:from>
    <xdr:to>
      <xdr:col>5</xdr:col>
      <xdr:colOff>272143</xdr:colOff>
      <xdr:row>33</xdr:row>
      <xdr:rowOff>13609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435428</xdr:colOff>
      <xdr:row>5</xdr:row>
      <xdr:rowOff>197984</xdr:rowOff>
    </xdr:from>
    <xdr:to>
      <xdr:col>5</xdr:col>
      <xdr:colOff>272143</xdr:colOff>
      <xdr:row>18</xdr:row>
      <xdr:rowOff>163286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319768</xdr:colOff>
      <xdr:row>20</xdr:row>
      <xdr:rowOff>93739</xdr:rowOff>
    </xdr:from>
    <xdr:to>
      <xdr:col>17</xdr:col>
      <xdr:colOff>42334</xdr:colOff>
      <xdr:row>33</xdr:row>
      <xdr:rowOff>38932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161925</xdr:colOff>
      <xdr:row>9</xdr:row>
      <xdr:rowOff>171450</xdr:rowOff>
    </xdr:from>
    <xdr:ext cx="184731" cy="265265"/>
    <xdr:sp macro="" textlink="">
      <xdr:nvSpPr>
        <xdr:cNvPr id="2" name="TextBox 1"/>
        <xdr:cNvSpPr txBox="1"/>
      </xdr:nvSpPr>
      <xdr:spPr>
        <a:xfrm>
          <a:off x="6334125" y="163830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161925</xdr:colOff>
      <xdr:row>33</xdr:row>
      <xdr:rowOff>171450</xdr:rowOff>
    </xdr:from>
    <xdr:ext cx="184731" cy="265265"/>
    <xdr:sp macro="" textlink="">
      <xdr:nvSpPr>
        <xdr:cNvPr id="3" name="TextBox 2"/>
        <xdr:cNvSpPr txBox="1"/>
      </xdr:nvSpPr>
      <xdr:spPr>
        <a:xfrm>
          <a:off x="6334125" y="666750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9</xdr:col>
      <xdr:colOff>381000</xdr:colOff>
      <xdr:row>19</xdr:row>
      <xdr:rowOff>131680</xdr:rowOff>
    </xdr:from>
    <xdr:to>
      <xdr:col>12</xdr:col>
      <xdr:colOff>140495</xdr:colOff>
      <xdr:row>23</xdr:row>
      <xdr:rowOff>774437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332205"/>
          <a:ext cx="1588295" cy="15762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428623</xdr:colOff>
      <xdr:row>20</xdr:row>
      <xdr:rowOff>23813</xdr:rowOff>
    </xdr:from>
    <xdr:to>
      <xdr:col>11</xdr:col>
      <xdr:colOff>309561</xdr:colOff>
      <xdr:row>29</xdr:row>
      <xdr:rowOff>7144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3811" y="4119563"/>
          <a:ext cx="1738313" cy="19121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9525</xdr:colOff>
      <xdr:row>10</xdr:row>
      <xdr:rowOff>0</xdr:rowOff>
    </xdr:to>
    <xdr:grpSp>
      <xdr:nvGrpSpPr>
        <xdr:cNvPr id="10" name="Group 9"/>
        <xdr:cNvGrpSpPr/>
      </xdr:nvGrpSpPr>
      <xdr:grpSpPr>
        <a:xfrm>
          <a:off x="685800" y="2028825"/>
          <a:ext cx="1333500" cy="200025"/>
          <a:chOff x="609600" y="1000125"/>
          <a:chExt cx="1552575" cy="190500"/>
        </a:xfrm>
      </xdr:grpSpPr>
      <xdr:sp macro="" textlink="">
        <xdr:nvSpPr>
          <xdr:cNvPr id="8" name="Rectangle 7"/>
          <xdr:cNvSpPr/>
        </xdr:nvSpPr>
        <xdr:spPr>
          <a:xfrm>
            <a:off x="609600" y="1000125"/>
            <a:ext cx="1552575" cy="190500"/>
          </a:xfrm>
          <a:prstGeom prst="rect">
            <a:avLst/>
          </a:prstGeom>
          <a:noFill/>
          <a:ln w="3810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2057400" y="1133475"/>
            <a:ext cx="85725" cy="45719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600075</xdr:colOff>
      <xdr:row>29</xdr:row>
      <xdr:rowOff>0</xdr:rowOff>
    </xdr:to>
    <xdr:sp macro="" textlink="">
      <xdr:nvSpPr>
        <xdr:cNvPr id="11" name="Rectangle 10"/>
        <xdr:cNvSpPr/>
      </xdr:nvSpPr>
      <xdr:spPr>
        <a:xfrm>
          <a:off x="2152650" y="3562350"/>
          <a:ext cx="3038475" cy="942975"/>
        </a:xfrm>
        <a:prstGeom prst="rect">
          <a:avLst/>
        </a:prstGeom>
        <a:noFill/>
        <a:ln w="38100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529590</xdr:colOff>
      <xdr:row>28</xdr:row>
      <xdr:rowOff>217170</xdr:rowOff>
    </xdr:from>
    <xdr:to>
      <xdr:col>6</xdr:col>
      <xdr:colOff>605790</xdr:colOff>
      <xdr:row>29</xdr:row>
      <xdr:rowOff>9525</xdr:rowOff>
    </xdr:to>
    <xdr:sp macro="" textlink="">
      <xdr:nvSpPr>
        <xdr:cNvPr id="12" name="Rectangle 11"/>
        <xdr:cNvSpPr/>
      </xdr:nvSpPr>
      <xdr:spPr>
        <a:xfrm>
          <a:off x="4690110" y="6511290"/>
          <a:ext cx="76200" cy="66675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21165</xdr:colOff>
      <xdr:row>10</xdr:row>
      <xdr:rowOff>10586</xdr:rowOff>
    </xdr:from>
    <xdr:to>
      <xdr:col>25</xdr:col>
      <xdr:colOff>84667</xdr:colOff>
      <xdr:row>22</xdr:row>
      <xdr:rowOff>179917</xdr:rowOff>
    </xdr:to>
    <xdr:grpSp>
      <xdr:nvGrpSpPr>
        <xdr:cNvPr id="19" name="Group 18"/>
        <xdr:cNvGrpSpPr/>
      </xdr:nvGrpSpPr>
      <xdr:grpSpPr>
        <a:xfrm>
          <a:off x="8479365" y="2239436"/>
          <a:ext cx="4683127" cy="2855381"/>
          <a:chOff x="7672915" y="1397001"/>
          <a:chExt cx="4826002" cy="1809750"/>
        </a:xfrm>
      </xdr:grpSpPr>
      <xdr:pic>
        <xdr:nvPicPr>
          <xdr:cNvPr id="15" name="Picture 14" descr="Screen Clipping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26" t="5181" r="4837" b="6218"/>
          <a:stretch/>
        </xdr:blipFill>
        <xdr:spPr>
          <a:xfrm>
            <a:off x="7672915" y="1397001"/>
            <a:ext cx="4826002" cy="1809750"/>
          </a:xfrm>
          <a:prstGeom prst="rect">
            <a:avLst/>
          </a:prstGeom>
        </xdr:spPr>
      </xdr:pic>
      <xdr:sp macro="" textlink="">
        <xdr:nvSpPr>
          <xdr:cNvPr id="16" name="Rectangle 15"/>
          <xdr:cNvSpPr/>
        </xdr:nvSpPr>
        <xdr:spPr>
          <a:xfrm>
            <a:off x="7810500" y="2338917"/>
            <a:ext cx="4540250" cy="402166"/>
          </a:xfrm>
          <a:prstGeom prst="rect">
            <a:avLst/>
          </a:prstGeom>
          <a:solidFill>
            <a:srgbClr val="C6D9F1">
              <a:alpha val="58039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8741833" y="1566334"/>
            <a:ext cx="1788583" cy="1566333"/>
          </a:xfrm>
          <a:prstGeom prst="rect">
            <a:avLst/>
          </a:prstGeom>
          <a:solidFill>
            <a:srgbClr val="C0504D">
              <a:alpha val="29020"/>
            </a:srgbClr>
          </a:solidFill>
          <a:ln>
            <a:solidFill>
              <a:srgbClr val="C0504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10541001" y="1566333"/>
            <a:ext cx="1820332" cy="370417"/>
          </a:xfrm>
          <a:prstGeom prst="rect">
            <a:avLst/>
          </a:prstGeom>
          <a:solidFill>
            <a:srgbClr val="00B050">
              <a:alpha val="47059"/>
            </a:srgbClr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Table2" displayName="Table2" ref="J57:K67" totalsRowShown="0" headerRowDxfId="59" dataDxfId="57" headerRowBorderDxfId="58" tableBorderDxfId="56" totalsRowBorderDxfId="55">
  <tableColumns count="2">
    <tableColumn id="1" name="Year" dataDxfId="54"/>
    <tableColumn id="2" name="Total Quarters" dataDxfId="53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4" displayName="Table4" ref="B5:H21" totalsRowCount="1" headerRowDxfId="43" dataDxfId="41" headerRowBorderDxfId="42" totalsRowBorderDxfId="40" headerRowCellStyle="Heading 4">
  <autoFilter ref="B5:H20"/>
  <tableColumns count="7">
    <tableColumn id="1" name="Year" totalsRowLabel="Totals" dataDxfId="39" totalsRowDxfId="38"/>
    <tableColumn id="2" name="Team" dataDxfId="37" totalsRowDxfId="36"/>
    <tableColumn id="6" name="Total Rebounds" totalsRowFunction="custom" dataDxfId="35" totalsRowDxfId="34">
      <totalsRowFormula>MIN(Table4[Total Rebounds])</totalsRowFormula>
    </tableColumn>
    <tableColumn id="7" name="Assists" totalsRowFunction="custom" dataDxfId="33" totalsRowDxfId="32">
      <totalsRowFormula>AVERAGE(Table4[Assists])</totalsRowFormula>
    </tableColumn>
    <tableColumn id="8" name="Steals" totalsRowFunction="custom" dataDxfId="31" totalsRowDxfId="30">
      <totalsRowFormula>MAX(Table4[Steals])</totalsRowFormula>
    </tableColumn>
    <tableColumn id="9" name="Blocks" totalsRowFunction="custom" dataDxfId="29" totalsRowDxfId="28">
      <totalsRowFormula>COUNT(Table4[Blocks])</totalsRowFormula>
    </tableColumn>
    <tableColumn id="12" name="Points" totalsRowFunction="sum" dataDxfId="27" totalsRowDxfId="26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C5:H9" totalsRowShown="0" headerRowDxfId="17" dataDxfId="16" tableBorderDxfId="15">
  <tableColumns count="6">
    <tableColumn id="1" name="Year" dataDxfId="14"/>
    <tableColumn id="2" name="Kenya" dataDxfId="13"/>
    <tableColumn id="3" name="Mexico" dataDxfId="12"/>
    <tableColumn id="4" name="Australia" dataDxfId="11"/>
    <tableColumn id="5" name="US" dataDxfId="10"/>
    <tableColumn id="6" name="Jamaica" dataDxfId="9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7" workbookViewId="0">
      <selection activeCell="C56" sqref="C56"/>
    </sheetView>
  </sheetViews>
  <sheetFormatPr defaultColWidth="9.140625" defaultRowHeight="15" x14ac:dyDescent="0.25"/>
  <cols>
    <col min="1" max="1" width="9.140625" style="2"/>
    <col min="2" max="2" width="15.28515625" style="2" bestFit="1" customWidth="1"/>
    <col min="3" max="3" width="11.140625" style="2" bestFit="1" customWidth="1"/>
    <col min="4" max="4" width="13.140625" style="2" bestFit="1" customWidth="1"/>
    <col min="5" max="6" width="12.710937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5">
      <c r="A2" s="2">
        <v>1999</v>
      </c>
      <c r="B2" s="2" t="s">
        <v>30</v>
      </c>
      <c r="C2" s="3">
        <v>299028000</v>
      </c>
      <c r="D2" s="3">
        <v>363200000</v>
      </c>
      <c r="E2" s="3">
        <f>SUM(C2:D2)</f>
        <v>662228000</v>
      </c>
      <c r="F2" s="106">
        <f>SUM(E2:E6)</f>
        <v>4430940000</v>
      </c>
    </row>
    <row r="3" spans="1:6" x14ac:dyDescent="0.25">
      <c r="A3" s="2">
        <v>1999</v>
      </c>
      <c r="B3" s="2" t="s">
        <v>36</v>
      </c>
      <c r="C3" s="3">
        <v>358332000</v>
      </c>
      <c r="D3" s="3">
        <v>349000000</v>
      </c>
      <c r="E3" s="3">
        <f t="shared" ref="E3:E51" si="0">SUM(C3:D3)</f>
        <v>707332000</v>
      </c>
      <c r="F3" s="107"/>
    </row>
    <row r="4" spans="1:6" x14ac:dyDescent="0.25">
      <c r="A4" s="2">
        <v>1999</v>
      </c>
      <c r="B4" s="2" t="s">
        <v>39</v>
      </c>
      <c r="C4" s="3">
        <v>401424000</v>
      </c>
      <c r="D4" s="3">
        <v>373400000</v>
      </c>
      <c r="E4" s="3">
        <f t="shared" si="0"/>
        <v>774824000</v>
      </c>
      <c r="F4" s="107"/>
    </row>
    <row r="5" spans="1:6" x14ac:dyDescent="0.25">
      <c r="A5" s="2">
        <v>1999</v>
      </c>
      <c r="B5" s="2" t="s">
        <v>46</v>
      </c>
      <c r="C5" s="3">
        <v>488744000</v>
      </c>
      <c r="D5" s="3">
        <v>451188000</v>
      </c>
      <c r="E5" s="3">
        <f t="shared" si="0"/>
        <v>939932000</v>
      </c>
      <c r="F5" s="107"/>
    </row>
    <row r="6" spans="1:6" x14ac:dyDescent="0.25">
      <c r="A6" s="2">
        <v>1999</v>
      </c>
      <c r="B6" s="2" t="s">
        <v>53</v>
      </c>
      <c r="C6" s="3">
        <v>657880000</v>
      </c>
      <c r="D6" s="3">
        <v>688744000</v>
      </c>
      <c r="E6" s="3">
        <f t="shared" si="0"/>
        <v>1346624000</v>
      </c>
      <c r="F6" s="107"/>
    </row>
    <row r="7" spans="1:6" x14ac:dyDescent="0.25">
      <c r="A7" s="2">
        <v>2000</v>
      </c>
      <c r="B7" s="2" t="s">
        <v>47</v>
      </c>
      <c r="C7" s="3">
        <v>495976000</v>
      </c>
      <c r="D7" s="3">
        <v>673040000</v>
      </c>
      <c r="E7" s="3">
        <f t="shared" si="0"/>
        <v>1169016000</v>
      </c>
      <c r="F7" s="106">
        <f t="shared" ref="F7" si="1">SUM(E7:E11)</f>
        <v>6470932000</v>
      </c>
    </row>
    <row r="8" spans="1:6" x14ac:dyDescent="0.25">
      <c r="A8" s="2">
        <v>2000</v>
      </c>
      <c r="B8" s="2" t="s">
        <v>48</v>
      </c>
      <c r="C8" s="3">
        <v>535184000</v>
      </c>
      <c r="D8" s="3">
        <v>628600000</v>
      </c>
      <c r="E8" s="3">
        <f t="shared" si="0"/>
        <v>1163784000</v>
      </c>
      <c r="F8" s="107"/>
    </row>
    <row r="9" spans="1:6" x14ac:dyDescent="0.25">
      <c r="A9" s="2">
        <v>2000</v>
      </c>
      <c r="B9" s="2" t="s">
        <v>49</v>
      </c>
      <c r="C9" s="3">
        <v>556532000</v>
      </c>
      <c r="D9" s="3">
        <v>678200000</v>
      </c>
      <c r="E9" s="3">
        <f t="shared" si="0"/>
        <v>1234732000</v>
      </c>
      <c r="F9" s="107"/>
    </row>
    <row r="10" spans="1:6" x14ac:dyDescent="0.25">
      <c r="A10" s="2">
        <v>2000</v>
      </c>
      <c r="B10" s="2" t="s">
        <v>50</v>
      </c>
      <c r="C10" s="3">
        <v>566208000</v>
      </c>
      <c r="D10" s="3">
        <v>742576000</v>
      </c>
      <c r="E10" s="3">
        <f t="shared" si="0"/>
        <v>1308784000</v>
      </c>
      <c r="F10" s="107"/>
    </row>
    <row r="11" spans="1:6" x14ac:dyDescent="0.25">
      <c r="A11" s="2">
        <v>2000</v>
      </c>
      <c r="B11" s="2" t="s">
        <v>52</v>
      </c>
      <c r="C11" s="3">
        <v>651616000</v>
      </c>
      <c r="D11" s="3">
        <v>943000000</v>
      </c>
      <c r="E11" s="3">
        <f t="shared" si="0"/>
        <v>1594616000</v>
      </c>
      <c r="F11" s="107"/>
    </row>
    <row r="12" spans="1:6" x14ac:dyDescent="0.25">
      <c r="A12" s="2">
        <v>2001</v>
      </c>
      <c r="B12" s="2" t="s">
        <v>38</v>
      </c>
      <c r="C12" s="3">
        <v>370564000</v>
      </c>
      <c r="D12" s="3">
        <v>353000000</v>
      </c>
      <c r="E12" s="3">
        <f t="shared" si="0"/>
        <v>723564000</v>
      </c>
      <c r="F12" s="106">
        <f t="shared" ref="F12" si="2">SUM(E12:E16)</f>
        <v>4806984000</v>
      </c>
    </row>
    <row r="13" spans="1:6" x14ac:dyDescent="0.25">
      <c r="A13" s="2">
        <v>2001</v>
      </c>
      <c r="B13" s="2" t="s">
        <v>43</v>
      </c>
      <c r="C13" s="3">
        <v>427876000</v>
      </c>
      <c r="D13" s="3">
        <v>627600000</v>
      </c>
      <c r="E13" s="3">
        <f t="shared" si="0"/>
        <v>1055476000</v>
      </c>
      <c r="F13" s="107"/>
    </row>
    <row r="14" spans="1:6" x14ac:dyDescent="0.25">
      <c r="A14" s="2">
        <v>2001</v>
      </c>
      <c r="B14" s="2" t="s">
        <v>44</v>
      </c>
      <c r="C14" s="3">
        <v>447100000</v>
      </c>
      <c r="D14" s="3">
        <v>423000000</v>
      </c>
      <c r="E14" s="3">
        <f t="shared" si="0"/>
        <v>870100000</v>
      </c>
      <c r="F14" s="107"/>
    </row>
    <row r="15" spans="1:6" x14ac:dyDescent="0.25">
      <c r="A15" s="2">
        <v>2001</v>
      </c>
      <c r="B15" s="2" t="s">
        <v>45</v>
      </c>
      <c r="C15" s="3">
        <v>459404000</v>
      </c>
      <c r="D15" s="3">
        <v>423400000</v>
      </c>
      <c r="E15" s="3">
        <f t="shared" si="0"/>
        <v>882804000</v>
      </c>
      <c r="F15" s="107"/>
    </row>
    <row r="16" spans="1:6" x14ac:dyDescent="0.25">
      <c r="A16" s="2">
        <v>2001</v>
      </c>
      <c r="B16" s="2" t="s">
        <v>51</v>
      </c>
      <c r="C16" s="3">
        <v>619640000</v>
      </c>
      <c r="D16" s="3">
        <v>655400000</v>
      </c>
      <c r="E16" s="3">
        <f t="shared" si="0"/>
        <v>1275040000</v>
      </c>
      <c r="F16" s="107"/>
    </row>
    <row r="17" spans="1:6" x14ac:dyDescent="0.25">
      <c r="A17" s="2">
        <v>2002</v>
      </c>
      <c r="B17" s="2" t="s">
        <v>26</v>
      </c>
      <c r="C17" s="3">
        <v>286468000</v>
      </c>
      <c r="D17" s="3">
        <v>361600000</v>
      </c>
      <c r="E17" s="3">
        <f t="shared" si="0"/>
        <v>648068000</v>
      </c>
      <c r="F17" s="106">
        <f t="shared" ref="F17" si="3">SUM(E17:E21)</f>
        <v>3313704000</v>
      </c>
    </row>
    <row r="18" spans="1:6" x14ac:dyDescent="0.25">
      <c r="A18" s="2">
        <v>2002</v>
      </c>
      <c r="B18" s="2" t="s">
        <v>28</v>
      </c>
      <c r="C18" s="3">
        <v>289600000</v>
      </c>
      <c r="D18" s="3">
        <v>290000000</v>
      </c>
      <c r="E18" s="3">
        <f t="shared" si="0"/>
        <v>579600000</v>
      </c>
      <c r="F18" s="107"/>
    </row>
    <row r="19" spans="1:6" x14ac:dyDescent="0.25">
      <c r="A19" s="2">
        <v>2002</v>
      </c>
      <c r="B19" s="2" t="s">
        <v>34</v>
      </c>
      <c r="C19" s="3">
        <v>327200000</v>
      </c>
      <c r="D19" s="3">
        <v>362600000</v>
      </c>
      <c r="E19" s="3">
        <f t="shared" si="0"/>
        <v>689800000</v>
      </c>
      <c r="F19" s="107"/>
    </row>
    <row r="20" spans="1:6" x14ac:dyDescent="0.25">
      <c r="A20" s="2">
        <v>2002</v>
      </c>
      <c r="B20" s="2" t="s">
        <v>40</v>
      </c>
      <c r="C20" s="3">
        <v>402204000</v>
      </c>
      <c r="D20" s="3">
        <v>362000000</v>
      </c>
      <c r="E20" s="3">
        <f t="shared" si="0"/>
        <v>764204000</v>
      </c>
      <c r="F20" s="107"/>
    </row>
    <row r="21" spans="1:6" x14ac:dyDescent="0.25">
      <c r="A21" s="2">
        <v>2002</v>
      </c>
      <c r="B21" s="2" t="s">
        <v>42</v>
      </c>
      <c r="C21" s="3">
        <v>414832000</v>
      </c>
      <c r="D21" s="3">
        <v>217200000</v>
      </c>
      <c r="E21" s="3">
        <f t="shared" si="0"/>
        <v>632032000</v>
      </c>
      <c r="F21" s="107"/>
    </row>
    <row r="22" spans="1:6" x14ac:dyDescent="0.25">
      <c r="A22" s="2">
        <v>2003</v>
      </c>
      <c r="B22" s="2" t="s">
        <v>7</v>
      </c>
      <c r="C22" s="3">
        <v>228200000</v>
      </c>
      <c r="D22" s="3">
        <v>225000000</v>
      </c>
      <c r="E22" s="3">
        <f t="shared" si="0"/>
        <v>453200000</v>
      </c>
      <c r="F22" s="106">
        <f t="shared" ref="F22" si="4">SUM(E22:E26)</f>
        <v>2280400000</v>
      </c>
    </row>
    <row r="23" spans="1:6" x14ac:dyDescent="0.25">
      <c r="A23" s="2">
        <v>2003</v>
      </c>
      <c r="B23" s="2" t="s">
        <v>8</v>
      </c>
      <c r="C23" s="3">
        <v>229800000</v>
      </c>
      <c r="D23" s="3">
        <v>228000000</v>
      </c>
      <c r="E23" s="3">
        <f t="shared" si="0"/>
        <v>457800000</v>
      </c>
      <c r="F23" s="107"/>
    </row>
    <row r="24" spans="1:6" x14ac:dyDescent="0.25">
      <c r="A24" s="2">
        <v>2003</v>
      </c>
      <c r="B24" s="2" t="s">
        <v>9</v>
      </c>
      <c r="C24" s="3">
        <v>231400000</v>
      </c>
      <c r="D24" s="3">
        <v>217400000</v>
      </c>
      <c r="E24" s="3">
        <f t="shared" si="0"/>
        <v>448800000</v>
      </c>
      <c r="F24" s="107"/>
    </row>
    <row r="25" spans="1:6" x14ac:dyDescent="0.25">
      <c r="A25" s="2">
        <v>2003</v>
      </c>
      <c r="B25" s="2" t="s">
        <v>10</v>
      </c>
      <c r="C25" s="3">
        <v>232400000</v>
      </c>
      <c r="D25" s="3">
        <v>225000000</v>
      </c>
      <c r="E25" s="3">
        <f t="shared" si="0"/>
        <v>457400000</v>
      </c>
      <c r="F25" s="107"/>
    </row>
    <row r="26" spans="1:6" x14ac:dyDescent="0.25">
      <c r="A26" s="2">
        <v>2003</v>
      </c>
      <c r="B26" s="2" t="s">
        <v>11</v>
      </c>
      <c r="C26" s="3">
        <v>237400000</v>
      </c>
      <c r="D26" s="3">
        <v>225800000</v>
      </c>
      <c r="E26" s="3">
        <f t="shared" si="0"/>
        <v>463200000</v>
      </c>
      <c r="F26" s="107"/>
    </row>
    <row r="27" spans="1:6" x14ac:dyDescent="0.25">
      <c r="A27" s="2">
        <v>2004</v>
      </c>
      <c r="B27" s="2" t="s">
        <v>5</v>
      </c>
      <c r="C27" s="3">
        <v>225800000</v>
      </c>
      <c r="D27" s="3">
        <v>233800000</v>
      </c>
      <c r="E27" s="3">
        <f t="shared" si="0"/>
        <v>459600000</v>
      </c>
      <c r="F27" s="106">
        <f t="shared" ref="F27" si="5">SUM(E27:E31)</f>
        <v>2401600000</v>
      </c>
    </row>
    <row r="28" spans="1:6" x14ac:dyDescent="0.25">
      <c r="A28" s="2">
        <v>2004</v>
      </c>
      <c r="B28" s="2" t="s">
        <v>6</v>
      </c>
      <c r="C28" s="3">
        <v>226800000</v>
      </c>
      <c r="D28" s="3">
        <v>226400000</v>
      </c>
      <c r="E28" s="3">
        <f t="shared" si="0"/>
        <v>453200000</v>
      </c>
      <c r="F28" s="107"/>
    </row>
    <row r="29" spans="1:6" x14ac:dyDescent="0.25">
      <c r="A29" s="2">
        <v>2004</v>
      </c>
      <c r="B29" s="2" t="s">
        <v>12</v>
      </c>
      <c r="C29" s="3">
        <v>241600000</v>
      </c>
      <c r="D29" s="3">
        <v>240200000</v>
      </c>
      <c r="E29" s="3">
        <f t="shared" si="0"/>
        <v>481800000</v>
      </c>
      <c r="F29" s="107"/>
    </row>
    <row r="30" spans="1:6" x14ac:dyDescent="0.25">
      <c r="A30" s="2">
        <v>2004</v>
      </c>
      <c r="B30" s="2" t="s">
        <v>15</v>
      </c>
      <c r="C30" s="3">
        <v>251400000</v>
      </c>
      <c r="D30" s="3">
        <v>213800000</v>
      </c>
      <c r="E30" s="3">
        <f t="shared" si="0"/>
        <v>465200000</v>
      </c>
      <c r="F30" s="107"/>
    </row>
    <row r="31" spans="1:6" x14ac:dyDescent="0.25">
      <c r="A31" s="2">
        <v>2004</v>
      </c>
      <c r="B31" s="2" t="s">
        <v>19</v>
      </c>
      <c r="C31" s="3">
        <v>263000000</v>
      </c>
      <c r="D31" s="3">
        <v>278800000</v>
      </c>
      <c r="E31" s="3">
        <f t="shared" si="0"/>
        <v>541800000</v>
      </c>
      <c r="F31" s="107"/>
    </row>
    <row r="32" spans="1:6" x14ac:dyDescent="0.25">
      <c r="A32" s="2">
        <v>2005</v>
      </c>
      <c r="B32" s="2" t="s">
        <v>14</v>
      </c>
      <c r="C32" s="3">
        <v>248400000</v>
      </c>
      <c r="D32" s="3">
        <v>239600000</v>
      </c>
      <c r="E32" s="3">
        <f t="shared" si="0"/>
        <v>488000000</v>
      </c>
      <c r="F32" s="106">
        <f t="shared" ref="F32" si="6">SUM(E32:E36)</f>
        <v>3013600000</v>
      </c>
    </row>
    <row r="33" spans="1:6" x14ac:dyDescent="0.25">
      <c r="A33" s="2">
        <v>2005</v>
      </c>
      <c r="B33" s="2" t="s">
        <v>20</v>
      </c>
      <c r="C33" s="3">
        <v>263200000</v>
      </c>
      <c r="D33" s="3">
        <v>257200000</v>
      </c>
      <c r="E33" s="3">
        <f t="shared" si="0"/>
        <v>520400000</v>
      </c>
      <c r="F33" s="107"/>
    </row>
    <row r="34" spans="1:6" x14ac:dyDescent="0.25">
      <c r="A34" s="2">
        <v>2005</v>
      </c>
      <c r="B34" s="2" t="s">
        <v>31</v>
      </c>
      <c r="C34" s="3">
        <v>300000000</v>
      </c>
      <c r="D34" s="3">
        <v>263400000</v>
      </c>
      <c r="E34" s="3">
        <f t="shared" si="0"/>
        <v>563400000</v>
      </c>
      <c r="F34" s="107"/>
    </row>
    <row r="35" spans="1:6" x14ac:dyDescent="0.25">
      <c r="A35" s="2">
        <v>2005</v>
      </c>
      <c r="B35" s="2" t="s">
        <v>35</v>
      </c>
      <c r="C35" s="3">
        <v>356200000</v>
      </c>
      <c r="D35" s="3">
        <v>365400000</v>
      </c>
      <c r="E35" s="3">
        <f t="shared" si="0"/>
        <v>721600000</v>
      </c>
      <c r="F35" s="107"/>
    </row>
    <row r="36" spans="1:6" x14ac:dyDescent="0.25">
      <c r="A36" s="2">
        <v>2005</v>
      </c>
      <c r="B36" s="2" t="s">
        <v>41</v>
      </c>
      <c r="C36" s="3">
        <v>404000000</v>
      </c>
      <c r="D36" s="3">
        <v>316200000</v>
      </c>
      <c r="E36" s="3">
        <f t="shared" si="0"/>
        <v>720200000</v>
      </c>
      <c r="F36" s="107"/>
    </row>
    <row r="37" spans="1:6" x14ac:dyDescent="0.25">
      <c r="A37" s="2">
        <v>2006</v>
      </c>
      <c r="B37" s="2" t="s">
        <v>23</v>
      </c>
      <c r="C37" s="3">
        <v>265800000</v>
      </c>
      <c r="D37" s="3">
        <v>245000000</v>
      </c>
      <c r="E37" s="3">
        <f t="shared" si="0"/>
        <v>510800000</v>
      </c>
      <c r="F37" s="106">
        <f t="shared" ref="F37" si="7">SUM(E37:E41)</f>
        <v>2928800000</v>
      </c>
    </row>
    <row r="38" spans="1:6" x14ac:dyDescent="0.25">
      <c r="A38" s="2">
        <v>2006</v>
      </c>
      <c r="B38" s="2" t="s">
        <v>24</v>
      </c>
      <c r="C38" s="3">
        <v>276400000</v>
      </c>
      <c r="D38" s="3">
        <v>318000000</v>
      </c>
      <c r="E38" s="3">
        <f t="shared" si="0"/>
        <v>594400000</v>
      </c>
      <c r="F38" s="107"/>
    </row>
    <row r="39" spans="1:6" x14ac:dyDescent="0.25">
      <c r="A39" s="2">
        <v>2006</v>
      </c>
      <c r="B39" s="2" t="s">
        <v>29</v>
      </c>
      <c r="C39" s="3">
        <v>294200000</v>
      </c>
      <c r="D39" s="3">
        <v>274800000</v>
      </c>
      <c r="E39" s="3">
        <f t="shared" si="0"/>
        <v>569000000</v>
      </c>
      <c r="F39" s="107"/>
    </row>
    <row r="40" spans="1:6" x14ac:dyDescent="0.25">
      <c r="A40" s="2">
        <v>2006</v>
      </c>
      <c r="B40" s="2" t="s">
        <v>32</v>
      </c>
      <c r="C40" s="3">
        <v>312800000</v>
      </c>
      <c r="D40" s="3">
        <v>277000000</v>
      </c>
      <c r="E40" s="3">
        <f t="shared" si="0"/>
        <v>589800000</v>
      </c>
      <c r="F40" s="107"/>
    </row>
    <row r="41" spans="1:6" x14ac:dyDescent="0.25">
      <c r="A41" s="2">
        <v>2006</v>
      </c>
      <c r="B41" s="2" t="s">
        <v>37</v>
      </c>
      <c r="C41" s="3">
        <v>359000000</v>
      </c>
      <c r="D41" s="3">
        <v>305800000</v>
      </c>
      <c r="E41" s="3">
        <f t="shared" si="0"/>
        <v>664800000</v>
      </c>
      <c r="F41" s="107"/>
    </row>
    <row r="42" spans="1:6" x14ac:dyDescent="0.25">
      <c r="A42" s="2">
        <v>2007</v>
      </c>
      <c r="B42" s="2" t="s">
        <v>16</v>
      </c>
      <c r="C42" s="3">
        <v>253200000</v>
      </c>
      <c r="D42" s="3">
        <v>255000000</v>
      </c>
      <c r="E42" s="3">
        <f t="shared" si="0"/>
        <v>508200000</v>
      </c>
      <c r="F42" s="106">
        <f t="shared" ref="F42" si="8">SUM(E42:E46)</f>
        <v>2712440000</v>
      </c>
    </row>
    <row r="43" spans="1:6" x14ac:dyDescent="0.25">
      <c r="A43" s="2">
        <v>2007</v>
      </c>
      <c r="B43" s="2" t="s">
        <v>18</v>
      </c>
      <c r="C43" s="3">
        <v>256240000</v>
      </c>
      <c r="D43" s="3">
        <v>257000000</v>
      </c>
      <c r="E43" s="3">
        <f t="shared" si="0"/>
        <v>513240000</v>
      </c>
      <c r="F43" s="107"/>
    </row>
    <row r="44" spans="1:6" x14ac:dyDescent="0.25">
      <c r="A44" s="2">
        <v>2007</v>
      </c>
      <c r="B44" s="2" t="s">
        <v>25</v>
      </c>
      <c r="C44" s="3">
        <v>280000000</v>
      </c>
      <c r="D44" s="3">
        <v>265200000</v>
      </c>
      <c r="E44" s="3">
        <f t="shared" si="0"/>
        <v>545200000</v>
      </c>
      <c r="F44" s="107"/>
    </row>
    <row r="45" spans="1:6" x14ac:dyDescent="0.25">
      <c r="A45" s="2">
        <v>2007</v>
      </c>
      <c r="B45" s="2" t="s">
        <v>27</v>
      </c>
      <c r="C45" s="3">
        <v>286800000</v>
      </c>
      <c r="D45" s="3">
        <v>294600000</v>
      </c>
      <c r="E45" s="3">
        <f t="shared" si="0"/>
        <v>581400000</v>
      </c>
      <c r="F45" s="107"/>
    </row>
    <row r="46" spans="1:6" x14ac:dyDescent="0.25">
      <c r="A46" s="2">
        <v>2007</v>
      </c>
      <c r="B46" s="2" t="s">
        <v>33</v>
      </c>
      <c r="C46" s="3">
        <v>320800000</v>
      </c>
      <c r="D46" s="3">
        <v>243600000</v>
      </c>
      <c r="E46" s="3">
        <f t="shared" si="0"/>
        <v>564400000</v>
      </c>
      <c r="F46" s="107"/>
    </row>
    <row r="47" spans="1:6" x14ac:dyDescent="0.25">
      <c r="A47" s="2">
        <v>2008</v>
      </c>
      <c r="B47" s="2" t="s">
        <v>4</v>
      </c>
      <c r="C47" s="3">
        <v>194600000</v>
      </c>
      <c r="D47" s="3">
        <v>222000000</v>
      </c>
      <c r="E47" s="3">
        <f t="shared" si="0"/>
        <v>416600000</v>
      </c>
      <c r="F47" s="106">
        <f t="shared" ref="F47" si="9">SUM(E47:E51)</f>
        <v>2438200000</v>
      </c>
    </row>
    <row r="48" spans="1:6" x14ac:dyDescent="0.25">
      <c r="A48" s="2">
        <v>2008</v>
      </c>
      <c r="B48" s="2" t="s">
        <v>13</v>
      </c>
      <c r="C48" s="3">
        <v>244400000</v>
      </c>
      <c r="D48" s="3">
        <v>244200000</v>
      </c>
      <c r="E48" s="3">
        <f t="shared" si="0"/>
        <v>488600000</v>
      </c>
      <c r="F48" s="107"/>
    </row>
    <row r="49" spans="1:6" x14ac:dyDescent="0.25">
      <c r="A49" s="2">
        <v>2008</v>
      </c>
      <c r="B49" s="2" t="s">
        <v>17</v>
      </c>
      <c r="C49" s="3">
        <v>254000000</v>
      </c>
      <c r="D49" s="3">
        <v>251800000</v>
      </c>
      <c r="E49" s="3">
        <f t="shared" si="0"/>
        <v>505800000</v>
      </c>
      <c r="F49" s="107"/>
    </row>
    <row r="50" spans="1:6" x14ac:dyDescent="0.25">
      <c r="A50" s="2">
        <v>2008</v>
      </c>
      <c r="B50" s="2" t="s">
        <v>21</v>
      </c>
      <c r="C50" s="3">
        <v>263600000</v>
      </c>
      <c r="D50" s="3">
        <v>254000000</v>
      </c>
      <c r="E50" s="3">
        <f t="shared" si="0"/>
        <v>517600000</v>
      </c>
      <c r="F50" s="107"/>
    </row>
    <row r="51" spans="1:6" x14ac:dyDescent="0.25">
      <c r="A51" s="2">
        <v>2008</v>
      </c>
      <c r="B51" s="2" t="s">
        <v>22</v>
      </c>
      <c r="C51" s="3">
        <v>265000000</v>
      </c>
      <c r="D51" s="3">
        <v>244600000</v>
      </c>
      <c r="E51" s="3">
        <f t="shared" si="0"/>
        <v>509600000</v>
      </c>
      <c r="F51" s="107"/>
    </row>
  </sheetData>
  <sortState ref="A2:D51">
    <sortCondition ref="A2:A51"/>
  </sortState>
  <mergeCells count="10">
    <mergeCell ref="F32:F36"/>
    <mergeCell ref="F37:F41"/>
    <mergeCell ref="F42:F46"/>
    <mergeCell ref="F47:F51"/>
    <mergeCell ref="F2:F6"/>
    <mergeCell ref="F7:F11"/>
    <mergeCell ref="F12:F16"/>
    <mergeCell ref="F17:F21"/>
    <mergeCell ref="F22:F26"/>
    <mergeCell ref="F27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2" sqref="C2:G3"/>
    </sheetView>
  </sheetViews>
  <sheetFormatPr defaultRowHeight="15" x14ac:dyDescent="0.25"/>
  <cols>
    <col min="1" max="1" width="4.85546875" customWidth="1"/>
    <col min="2" max="2" width="25.28515625" customWidth="1"/>
  </cols>
  <sheetData>
    <row r="1" spans="1:11" ht="15.75" thickBot="1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 customHeight="1" x14ac:dyDescent="0.25">
      <c r="A2" s="98"/>
      <c r="B2" s="108" t="s">
        <v>161</v>
      </c>
      <c r="C2" s="110"/>
      <c r="D2" s="110"/>
      <c r="E2" s="110"/>
      <c r="F2" s="110"/>
      <c r="G2" s="110"/>
      <c r="H2" s="108" t="s">
        <v>162</v>
      </c>
      <c r="I2" s="108"/>
      <c r="J2" s="110"/>
      <c r="K2" s="98"/>
    </row>
    <row r="3" spans="1:11" ht="15" customHeight="1" thickBot="1" x14ac:dyDescent="0.3">
      <c r="A3" s="98"/>
      <c r="B3" s="109"/>
      <c r="C3" s="111"/>
      <c r="D3" s="111"/>
      <c r="E3" s="111"/>
      <c r="F3" s="111"/>
      <c r="G3" s="111"/>
      <c r="H3" s="109"/>
      <c r="I3" s="109"/>
      <c r="J3" s="111"/>
      <c r="K3" s="98"/>
    </row>
    <row r="4" spans="1:11" ht="15" customHeight="1" x14ac:dyDescent="0.25">
      <c r="A4" s="98"/>
      <c r="B4" s="108" t="s">
        <v>163</v>
      </c>
      <c r="C4" s="112">
        <f>SUM(C7:C13)</f>
        <v>0</v>
      </c>
      <c r="D4" s="112"/>
      <c r="E4" s="112"/>
      <c r="F4" s="99"/>
      <c r="G4" s="99"/>
      <c r="H4" s="99"/>
      <c r="I4" s="99"/>
      <c r="J4" s="99"/>
      <c r="K4" s="98"/>
    </row>
    <row r="5" spans="1:11" ht="15" customHeight="1" thickBot="1" x14ac:dyDescent="0.3">
      <c r="A5" s="98"/>
      <c r="B5" s="109"/>
      <c r="C5" s="113"/>
      <c r="D5" s="113"/>
      <c r="E5" s="113"/>
      <c r="F5" s="99"/>
      <c r="G5" s="99"/>
      <c r="H5" s="99"/>
      <c r="I5" s="99"/>
      <c r="J5" s="99"/>
      <c r="K5" s="98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3.25" x14ac:dyDescent="0.35">
      <c r="A7" s="98"/>
      <c r="B7" s="100" t="s">
        <v>154</v>
      </c>
      <c r="C7" s="101">
        <f>'Question 1'!P34</f>
        <v>0</v>
      </c>
      <c r="D7" s="98"/>
      <c r="E7" s="98"/>
      <c r="F7" s="98"/>
      <c r="G7" s="98"/>
      <c r="H7" s="98"/>
      <c r="I7" s="98"/>
      <c r="J7" s="98"/>
      <c r="K7" s="98"/>
    </row>
    <row r="8" spans="1:11" ht="23.25" x14ac:dyDescent="0.35">
      <c r="A8" s="98"/>
      <c r="B8" s="100" t="s">
        <v>155</v>
      </c>
      <c r="C8" s="101">
        <f>'Question 2'!N28</f>
        <v>0</v>
      </c>
      <c r="D8" s="98"/>
      <c r="E8" s="98"/>
      <c r="F8" s="98"/>
      <c r="G8" s="98"/>
      <c r="H8" s="98"/>
      <c r="I8" s="98"/>
      <c r="J8" s="98"/>
      <c r="K8" s="98"/>
    </row>
    <row r="9" spans="1:11" ht="23.25" x14ac:dyDescent="0.35">
      <c r="A9" s="98"/>
      <c r="B9" s="100" t="s">
        <v>156</v>
      </c>
      <c r="C9" s="101">
        <f>'Question 3'!A88</f>
        <v>0</v>
      </c>
      <c r="D9" s="98"/>
      <c r="E9" s="98"/>
      <c r="F9" s="98"/>
      <c r="G9" s="98"/>
      <c r="H9" s="98"/>
      <c r="I9" s="98"/>
      <c r="J9" s="98"/>
      <c r="K9" s="98"/>
    </row>
    <row r="10" spans="1:11" ht="23.25" x14ac:dyDescent="0.35">
      <c r="A10" s="98"/>
      <c r="B10" s="100" t="s">
        <v>157</v>
      </c>
      <c r="C10" s="101">
        <f>'Question 4'!F34</f>
        <v>0</v>
      </c>
      <c r="D10" s="98"/>
      <c r="E10" s="98"/>
      <c r="F10" s="98"/>
      <c r="G10" s="98"/>
      <c r="H10" s="98"/>
      <c r="I10" s="98"/>
      <c r="J10" s="98"/>
      <c r="K10" s="98"/>
    </row>
    <row r="11" spans="1:11" ht="23.25" x14ac:dyDescent="0.35">
      <c r="A11" s="98"/>
      <c r="B11" s="100" t="s">
        <v>158</v>
      </c>
      <c r="C11" s="101">
        <f>'Question 5'!C25</f>
        <v>0</v>
      </c>
      <c r="D11" s="98"/>
      <c r="E11" s="98"/>
      <c r="F11" s="98"/>
      <c r="G11" s="98"/>
      <c r="H11" s="98"/>
      <c r="I11" s="98"/>
      <c r="J11" s="98"/>
      <c r="K11" s="98"/>
    </row>
    <row r="12" spans="1:11" ht="23.25" x14ac:dyDescent="0.35">
      <c r="A12" s="98"/>
      <c r="B12" s="100" t="s">
        <v>159</v>
      </c>
      <c r="C12" s="101">
        <f>'Question 6'!M30</f>
        <v>0</v>
      </c>
      <c r="D12" s="98"/>
      <c r="E12" s="98"/>
      <c r="F12" s="98"/>
      <c r="G12" s="98"/>
      <c r="H12" s="98"/>
      <c r="I12" s="98"/>
      <c r="J12" s="98"/>
      <c r="K12" s="98"/>
    </row>
    <row r="13" spans="1:11" ht="23.25" x14ac:dyDescent="0.35">
      <c r="A13" s="98"/>
      <c r="B13" s="100" t="s">
        <v>160</v>
      </c>
      <c r="C13" s="101">
        <f>'Question 7'!N35</f>
        <v>0</v>
      </c>
      <c r="D13" s="98"/>
      <c r="E13" s="98"/>
      <c r="F13" s="98"/>
      <c r="G13" s="98"/>
      <c r="H13" s="98"/>
      <c r="I13" s="98"/>
      <c r="J13" s="98"/>
      <c r="K13" s="98"/>
    </row>
    <row r="14" spans="1:1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</row>
  </sheetData>
  <sheetProtection sheet="1" objects="1" scenarios="1" selectLockedCells="1"/>
  <mergeCells count="6">
    <mergeCell ref="B2:B3"/>
    <mergeCell ref="C2:G3"/>
    <mergeCell ref="H2:I3"/>
    <mergeCell ref="J2:J3"/>
    <mergeCell ref="B4:B5"/>
    <mergeCell ref="C4:E5"/>
  </mergeCells>
  <conditionalFormatting sqref="C4:E5">
    <cfRule type="cellIs" dxfId="80" priority="2" operator="equal">
      <formula>44</formula>
    </cfRule>
    <cfRule type="cellIs" dxfId="79" priority="1" operator="equal">
      <formula>43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H7" sqref="H7:H9"/>
    </sheetView>
  </sheetViews>
  <sheetFormatPr defaultRowHeight="15" x14ac:dyDescent="0.25"/>
  <cols>
    <col min="2" max="2" width="9.42578125" bestFit="1" customWidth="1"/>
    <col min="3" max="3" width="17.28515625" bestFit="1" customWidth="1"/>
    <col min="4" max="4" width="20.85546875" bestFit="1" customWidth="1"/>
    <col min="5" max="5" width="28" bestFit="1" customWidth="1"/>
    <col min="6" max="6" width="19.42578125" bestFit="1" customWidth="1"/>
    <col min="8" max="8" width="53.85546875" customWidth="1"/>
    <col min="9" max="9" width="6.85546875" customWidth="1"/>
    <col min="14" max="15" width="9.7109375" customWidth="1"/>
    <col min="16" max="16" width="49.28515625" customWidth="1"/>
  </cols>
  <sheetData>
    <row r="1" spans="1:16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7.5" customHeight="1" thickBot="1" x14ac:dyDescent="0.3">
      <c r="A2" s="17"/>
      <c r="B2" s="135" t="s">
        <v>70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17"/>
    </row>
    <row r="3" spans="1:16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3.25" customHeight="1" x14ac:dyDescent="0.25">
      <c r="A4" s="17"/>
      <c r="B4" s="30" t="s">
        <v>0</v>
      </c>
      <c r="C4" s="31" t="s">
        <v>1</v>
      </c>
      <c r="D4" s="31" t="s">
        <v>61</v>
      </c>
      <c r="E4" s="31" t="s">
        <v>63</v>
      </c>
      <c r="F4" s="32" t="s">
        <v>54</v>
      </c>
      <c r="G4" s="17"/>
      <c r="H4" s="147" t="s">
        <v>55</v>
      </c>
      <c r="I4" s="91"/>
      <c r="J4" s="126" t="s">
        <v>71</v>
      </c>
      <c r="K4" s="127"/>
      <c r="L4" s="127"/>
      <c r="M4" s="127"/>
      <c r="N4" s="127"/>
      <c r="O4" s="128"/>
      <c r="P4" s="90"/>
    </row>
    <row r="5" spans="1:16" ht="21.75" customHeight="1" x14ac:dyDescent="0.25">
      <c r="A5" s="17"/>
      <c r="B5" s="18">
        <v>1999</v>
      </c>
      <c r="C5" s="19" t="s">
        <v>53</v>
      </c>
      <c r="D5" s="20">
        <v>657880</v>
      </c>
      <c r="E5" s="20">
        <v>688744</v>
      </c>
      <c r="F5" s="21">
        <f>SUM(D5:E5)</f>
        <v>1346624</v>
      </c>
      <c r="G5" s="17"/>
      <c r="H5" s="148"/>
      <c r="I5" s="91"/>
      <c r="J5" s="129"/>
      <c r="K5" s="130"/>
      <c r="L5" s="130"/>
      <c r="M5" s="130"/>
      <c r="N5" s="130"/>
      <c r="O5" s="131"/>
      <c r="P5" s="90"/>
    </row>
    <row r="6" spans="1:16" ht="21" customHeight="1" thickBot="1" x14ac:dyDescent="0.3">
      <c r="A6" s="17"/>
      <c r="B6" s="22">
        <v>1999</v>
      </c>
      <c r="C6" s="23" t="s">
        <v>39</v>
      </c>
      <c r="D6" s="24">
        <v>451424</v>
      </c>
      <c r="E6" s="24">
        <v>573400</v>
      </c>
      <c r="F6" s="25">
        <f>SUM(D6:E6)</f>
        <v>1024824</v>
      </c>
      <c r="G6" s="17"/>
      <c r="H6" s="149"/>
      <c r="I6" s="91"/>
      <c r="J6" s="132"/>
      <c r="K6" s="133"/>
      <c r="L6" s="133"/>
      <c r="M6" s="133"/>
      <c r="N6" s="133"/>
      <c r="O6" s="134"/>
      <c r="P6" s="90"/>
    </row>
    <row r="7" spans="1:16" ht="21" customHeight="1" x14ac:dyDescent="0.25">
      <c r="A7" s="17"/>
      <c r="B7" s="22">
        <v>1999</v>
      </c>
      <c r="C7" s="23" t="s">
        <v>46</v>
      </c>
      <c r="D7" s="24">
        <v>388744</v>
      </c>
      <c r="E7" s="24">
        <v>451188</v>
      </c>
      <c r="F7" s="25">
        <f>SUM(D7:E7)</f>
        <v>839932</v>
      </c>
      <c r="G7" s="17"/>
      <c r="H7" s="150"/>
      <c r="I7" s="90">
        <f>IF(H7="Connecticut",1,0)</f>
        <v>0</v>
      </c>
      <c r="J7" s="114"/>
      <c r="K7" s="115"/>
      <c r="L7" s="115"/>
      <c r="M7" s="115"/>
      <c r="N7" s="115"/>
      <c r="O7" s="116"/>
      <c r="P7" s="90">
        <f>IF(J7=2,1,0)</f>
        <v>0</v>
      </c>
    </row>
    <row r="8" spans="1:16" ht="21" customHeight="1" x14ac:dyDescent="0.25">
      <c r="A8" s="17"/>
      <c r="B8" s="22">
        <v>1999</v>
      </c>
      <c r="C8" s="23" t="s">
        <v>30</v>
      </c>
      <c r="D8" s="24">
        <v>299028</v>
      </c>
      <c r="E8" s="24">
        <v>863200</v>
      </c>
      <c r="F8" s="25">
        <f>SUM(D8:E8)</f>
        <v>1162228</v>
      </c>
      <c r="G8" s="17"/>
      <c r="H8" s="151"/>
      <c r="I8" s="92"/>
      <c r="J8" s="117"/>
      <c r="K8" s="118"/>
      <c r="L8" s="118"/>
      <c r="M8" s="118"/>
      <c r="N8" s="118"/>
      <c r="O8" s="119"/>
      <c r="P8" s="90"/>
    </row>
    <row r="9" spans="1:16" ht="21.75" customHeight="1" thickBot="1" x14ac:dyDescent="0.3">
      <c r="A9" s="17"/>
      <c r="B9" s="26">
        <v>1999</v>
      </c>
      <c r="C9" s="27" t="s">
        <v>36</v>
      </c>
      <c r="D9" s="28">
        <v>558332</v>
      </c>
      <c r="E9" s="28">
        <v>349000</v>
      </c>
      <c r="F9" s="29">
        <f>SUM(D9:E9)</f>
        <v>907332</v>
      </c>
      <c r="G9" s="17"/>
      <c r="H9" s="152"/>
      <c r="I9" s="92"/>
      <c r="J9" s="120"/>
      <c r="K9" s="121"/>
      <c r="L9" s="121"/>
      <c r="M9" s="121"/>
      <c r="N9" s="121"/>
      <c r="O9" s="122"/>
      <c r="P9" s="90">
        <f>IF(J7="two",1,0)</f>
        <v>0</v>
      </c>
    </row>
    <row r="10" spans="1:16" ht="15.75" thickBot="1" x14ac:dyDescent="0.3">
      <c r="A10" s="17"/>
      <c r="B10" s="17"/>
      <c r="C10" s="17"/>
      <c r="D10" s="17"/>
      <c r="E10" s="17"/>
      <c r="F10" s="17"/>
      <c r="G10" s="17"/>
      <c r="H10" s="17"/>
      <c r="I10" s="90"/>
      <c r="J10" s="17"/>
      <c r="K10" s="17"/>
      <c r="L10" s="17"/>
      <c r="M10" s="17"/>
      <c r="N10" s="17"/>
      <c r="O10" s="17"/>
      <c r="P10" s="90"/>
    </row>
    <row r="11" spans="1:16" ht="15" customHeight="1" x14ac:dyDescent="0.25">
      <c r="A11" s="17"/>
      <c r="B11" s="17"/>
      <c r="C11" s="17"/>
      <c r="D11" s="17"/>
      <c r="E11" s="17"/>
      <c r="F11" s="17"/>
      <c r="G11" s="17"/>
      <c r="H11" s="147" t="s">
        <v>64</v>
      </c>
      <c r="I11" s="90"/>
      <c r="J11" s="138" t="s">
        <v>73</v>
      </c>
      <c r="K11" s="139"/>
      <c r="L11" s="139"/>
      <c r="M11" s="139"/>
      <c r="N11" s="139"/>
      <c r="O11" s="140"/>
      <c r="P11" s="90"/>
    </row>
    <row r="12" spans="1:16" ht="15" customHeight="1" x14ac:dyDescent="0.25">
      <c r="A12" s="17"/>
      <c r="B12" s="17"/>
      <c r="C12" s="17"/>
      <c r="D12" s="17"/>
      <c r="E12" s="17"/>
      <c r="F12" s="17"/>
      <c r="G12" s="17"/>
      <c r="H12" s="148"/>
      <c r="I12" s="90"/>
      <c r="J12" s="141"/>
      <c r="K12" s="142"/>
      <c r="L12" s="142"/>
      <c r="M12" s="142"/>
      <c r="N12" s="142"/>
      <c r="O12" s="143"/>
      <c r="P12" s="90"/>
    </row>
    <row r="13" spans="1:16" ht="15" customHeight="1" x14ac:dyDescent="0.25">
      <c r="A13" s="17"/>
      <c r="B13" s="17"/>
      <c r="C13" s="17"/>
      <c r="D13" s="17"/>
      <c r="E13" s="17"/>
      <c r="F13" s="17"/>
      <c r="G13" s="17"/>
      <c r="H13" s="148"/>
      <c r="I13" s="90"/>
      <c r="J13" s="141"/>
      <c r="K13" s="142"/>
      <c r="L13" s="142"/>
      <c r="M13" s="142"/>
      <c r="N13" s="142"/>
      <c r="O13" s="143"/>
      <c r="P13" s="90"/>
    </row>
    <row r="14" spans="1:16" ht="15.75" thickBot="1" x14ac:dyDescent="0.3">
      <c r="A14" s="17"/>
      <c r="B14" s="17"/>
      <c r="C14" s="17"/>
      <c r="D14" s="17"/>
      <c r="E14" s="17"/>
      <c r="F14" s="17"/>
      <c r="G14" s="17"/>
      <c r="H14" s="149"/>
      <c r="I14" s="90"/>
      <c r="J14" s="144"/>
      <c r="K14" s="145"/>
      <c r="L14" s="145"/>
      <c r="M14" s="145"/>
      <c r="N14" s="145"/>
      <c r="O14" s="146"/>
      <c r="P14" s="90"/>
    </row>
    <row r="15" spans="1:16" ht="15" customHeight="1" x14ac:dyDescent="0.25">
      <c r="A15" s="17"/>
      <c r="B15" s="17"/>
      <c r="C15" s="17"/>
      <c r="D15" s="17"/>
      <c r="E15" s="17"/>
      <c r="F15" s="17"/>
      <c r="G15" s="17"/>
      <c r="H15" s="123"/>
      <c r="I15" s="90">
        <f>IF(H15="georgia",1,0)</f>
        <v>0</v>
      </c>
      <c r="J15" s="114"/>
      <c r="K15" s="115"/>
      <c r="L15" s="115"/>
      <c r="M15" s="115"/>
      <c r="N15" s="115"/>
      <c r="O15" s="116"/>
      <c r="P15" s="90">
        <f>IF(J15="purple",1,0)</f>
        <v>0</v>
      </c>
    </row>
    <row r="16" spans="1:16" ht="15" customHeight="1" x14ac:dyDescent="0.25">
      <c r="A16" s="17"/>
      <c r="B16" s="17"/>
      <c r="C16" s="17"/>
      <c r="D16" s="17"/>
      <c r="E16" s="17"/>
      <c r="F16" s="17"/>
      <c r="G16" s="17"/>
      <c r="H16" s="124"/>
      <c r="I16" s="90"/>
      <c r="J16" s="117"/>
      <c r="K16" s="118"/>
      <c r="L16" s="118"/>
      <c r="M16" s="118"/>
      <c r="N16" s="118"/>
      <c r="O16" s="119"/>
      <c r="P16" s="90"/>
    </row>
    <row r="17" spans="1:16" ht="15.75" customHeight="1" x14ac:dyDescent="0.25">
      <c r="A17" s="17"/>
      <c r="B17" s="17"/>
      <c r="C17" s="17"/>
      <c r="D17" s="17"/>
      <c r="E17" s="17"/>
      <c r="F17" s="17"/>
      <c r="G17" s="17"/>
      <c r="H17" s="124"/>
      <c r="I17" s="90"/>
      <c r="J17" s="117"/>
      <c r="K17" s="118"/>
      <c r="L17" s="118"/>
      <c r="M17" s="118"/>
      <c r="N17" s="118"/>
      <c r="O17" s="119"/>
      <c r="P17" s="90"/>
    </row>
    <row r="18" spans="1:16" ht="15.75" thickBot="1" x14ac:dyDescent="0.3">
      <c r="A18" s="17"/>
      <c r="B18" s="17"/>
      <c r="C18" s="17"/>
      <c r="D18" s="17"/>
      <c r="E18" s="17"/>
      <c r="F18" s="17"/>
      <c r="G18" s="17"/>
      <c r="H18" s="125"/>
      <c r="I18" s="90"/>
      <c r="J18" s="120"/>
      <c r="K18" s="121"/>
      <c r="L18" s="121"/>
      <c r="M18" s="121"/>
      <c r="N18" s="121"/>
      <c r="O18" s="122"/>
      <c r="P18" s="90"/>
    </row>
    <row r="19" spans="1:16" ht="12" customHeight="1" x14ac:dyDescent="0.25">
      <c r="A19" s="17"/>
      <c r="B19" s="17"/>
      <c r="C19" s="17"/>
      <c r="D19" s="17"/>
      <c r="E19" s="17"/>
      <c r="F19" s="17"/>
      <c r="G19" s="17"/>
      <c r="H19" s="17"/>
      <c r="I19" s="90"/>
      <c r="J19" s="17"/>
      <c r="K19" s="17"/>
      <c r="L19" s="17"/>
      <c r="M19" s="17"/>
      <c r="N19" s="17"/>
      <c r="O19" s="17"/>
      <c r="P19" s="90"/>
    </row>
    <row r="20" spans="1:16" ht="15.75" thickBot="1" x14ac:dyDescent="0.3">
      <c r="A20" s="17"/>
      <c r="B20" s="17"/>
      <c r="C20" s="17"/>
      <c r="D20" s="17"/>
      <c r="E20" s="17"/>
      <c r="F20" s="17"/>
      <c r="G20" s="17"/>
      <c r="H20" s="17"/>
      <c r="I20" s="90"/>
      <c r="J20" s="17"/>
      <c r="K20" s="17"/>
      <c r="L20" s="17"/>
      <c r="M20" s="17"/>
      <c r="N20" s="17"/>
      <c r="O20" s="17"/>
      <c r="P20" s="90"/>
    </row>
    <row r="21" spans="1:16" ht="15" customHeight="1" x14ac:dyDescent="0.25">
      <c r="A21" s="17"/>
      <c r="B21" s="17"/>
      <c r="C21" s="17"/>
      <c r="D21" s="17"/>
      <c r="E21" s="17"/>
      <c r="F21" s="17"/>
      <c r="G21" s="17"/>
      <c r="H21" s="147" t="s">
        <v>65</v>
      </c>
      <c r="I21" s="90"/>
      <c r="J21" s="138" t="s">
        <v>72</v>
      </c>
      <c r="K21" s="139"/>
      <c r="L21" s="139"/>
      <c r="M21" s="139"/>
      <c r="N21" s="139"/>
      <c r="O21" s="140"/>
      <c r="P21" s="90"/>
    </row>
    <row r="22" spans="1:16" ht="15" customHeight="1" x14ac:dyDescent="0.25">
      <c r="A22" s="17"/>
      <c r="B22" s="17"/>
      <c r="C22" s="17"/>
      <c r="D22" s="17"/>
      <c r="E22" s="17"/>
      <c r="F22" s="17"/>
      <c r="G22" s="17"/>
      <c r="H22" s="148"/>
      <c r="I22" s="90"/>
      <c r="J22" s="141"/>
      <c r="K22" s="142"/>
      <c r="L22" s="142"/>
      <c r="M22" s="142"/>
      <c r="N22" s="142"/>
      <c r="O22" s="143"/>
      <c r="P22" s="90"/>
    </row>
    <row r="23" spans="1:16" ht="15.75" customHeight="1" x14ac:dyDescent="0.25">
      <c r="A23" s="17"/>
      <c r="B23" s="17"/>
      <c r="C23" s="17"/>
      <c r="D23" s="17"/>
      <c r="E23" s="17"/>
      <c r="F23" s="17"/>
      <c r="G23" s="17"/>
      <c r="H23" s="148"/>
      <c r="I23" s="90"/>
      <c r="J23" s="141"/>
      <c r="K23" s="142"/>
      <c r="L23" s="142"/>
      <c r="M23" s="142"/>
      <c r="N23" s="142"/>
      <c r="O23" s="143"/>
      <c r="P23" s="90"/>
    </row>
    <row r="24" spans="1:16" ht="15" customHeight="1" thickBot="1" x14ac:dyDescent="0.3">
      <c r="A24" s="17"/>
      <c r="B24" s="17"/>
      <c r="C24" s="17"/>
      <c r="D24" s="17"/>
      <c r="E24" s="17"/>
      <c r="F24" s="17"/>
      <c r="G24" s="17"/>
      <c r="H24" s="148"/>
      <c r="I24" s="90"/>
      <c r="J24" s="144"/>
      <c r="K24" s="145"/>
      <c r="L24" s="145"/>
      <c r="M24" s="145"/>
      <c r="N24" s="145"/>
      <c r="O24" s="146"/>
      <c r="P24" s="90"/>
    </row>
    <row r="25" spans="1:16" ht="15" customHeight="1" x14ac:dyDescent="0.25">
      <c r="A25" s="17"/>
      <c r="B25" s="17"/>
      <c r="C25" s="17"/>
      <c r="D25" s="17"/>
      <c r="E25" s="17"/>
      <c r="F25" s="17"/>
      <c r="G25" s="17"/>
      <c r="H25" s="123"/>
      <c r="I25" s="90">
        <f>IF(H25="column",1,0)</f>
        <v>0</v>
      </c>
      <c r="J25" s="114"/>
      <c r="K25" s="115"/>
      <c r="L25" s="115"/>
      <c r="M25" s="115"/>
      <c r="N25" s="115"/>
      <c r="O25" s="116"/>
      <c r="P25" s="90">
        <f>IF(J25=3,1,0)</f>
        <v>0</v>
      </c>
    </row>
    <row r="26" spans="1:16" ht="15" customHeight="1" x14ac:dyDescent="0.25">
      <c r="A26" s="17"/>
      <c r="B26" s="17"/>
      <c r="C26" s="17"/>
      <c r="D26" s="17"/>
      <c r="E26" s="17"/>
      <c r="F26" s="17"/>
      <c r="G26" s="17"/>
      <c r="H26" s="124"/>
      <c r="I26" s="90"/>
      <c r="J26" s="117"/>
      <c r="K26" s="118"/>
      <c r="L26" s="118"/>
      <c r="M26" s="118"/>
      <c r="N26" s="118"/>
      <c r="O26" s="119"/>
      <c r="P26" s="90">
        <f>IF(J25="three",1,0)</f>
        <v>0</v>
      </c>
    </row>
    <row r="27" spans="1:16" ht="15.75" customHeight="1" x14ac:dyDescent="0.25">
      <c r="A27" s="17"/>
      <c r="B27" s="17"/>
      <c r="C27" s="17"/>
      <c r="D27" s="17"/>
      <c r="E27" s="17"/>
      <c r="F27" s="17"/>
      <c r="G27" s="17"/>
      <c r="H27" s="124"/>
      <c r="I27" s="90"/>
      <c r="J27" s="117"/>
      <c r="K27" s="118"/>
      <c r="L27" s="118"/>
      <c r="M27" s="118"/>
      <c r="N27" s="118"/>
      <c r="O27" s="119"/>
      <c r="P27" s="90"/>
    </row>
    <row r="28" spans="1:16" ht="15.75" thickBot="1" x14ac:dyDescent="0.3">
      <c r="A28" s="17"/>
      <c r="B28" s="17"/>
      <c r="C28" s="17"/>
      <c r="D28" s="17"/>
      <c r="E28" s="17"/>
      <c r="F28" s="17"/>
      <c r="G28" s="17"/>
      <c r="H28" s="125"/>
      <c r="I28" s="90"/>
      <c r="J28" s="120"/>
      <c r="K28" s="121"/>
      <c r="L28" s="121"/>
      <c r="M28" s="121"/>
      <c r="N28" s="121"/>
      <c r="O28" s="122"/>
      <c r="P28" s="90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90"/>
      <c r="J29" s="17"/>
      <c r="K29" s="17"/>
      <c r="L29" s="17"/>
      <c r="M29" s="17"/>
      <c r="N29" s="17"/>
      <c r="O29" s="17"/>
      <c r="P29" s="90"/>
    </row>
    <row r="30" spans="1:16" x14ac:dyDescent="0.25">
      <c r="A30" s="17"/>
      <c r="B30" s="17"/>
      <c r="C30" s="17"/>
      <c r="D30" s="17"/>
      <c r="E30" s="17"/>
      <c r="F30" s="17"/>
      <c r="G30" s="17"/>
      <c r="H30" s="17"/>
      <c r="I30" s="90"/>
      <c r="J30" s="17"/>
      <c r="K30" s="17"/>
      <c r="L30" s="17"/>
      <c r="M30" s="17"/>
      <c r="N30" s="17"/>
      <c r="O30" s="17"/>
      <c r="P30" s="90"/>
    </row>
    <row r="31" spans="1:1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90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90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0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0">
        <f>SUM(I7+I15+I25+P7+P9+P15+P25+P26)</f>
        <v>0</v>
      </c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90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sheetProtection sheet="1" objects="1" scenarios="1" selectLockedCells="1"/>
  <sortState ref="B3:F7">
    <sortCondition ref="C3:C7"/>
  </sortState>
  <mergeCells count="13">
    <mergeCell ref="J25:O28"/>
    <mergeCell ref="H25:H28"/>
    <mergeCell ref="J4:O6"/>
    <mergeCell ref="J7:O9"/>
    <mergeCell ref="B2:O2"/>
    <mergeCell ref="J11:O14"/>
    <mergeCell ref="J15:O18"/>
    <mergeCell ref="H21:H24"/>
    <mergeCell ref="H4:H6"/>
    <mergeCell ref="H7:H9"/>
    <mergeCell ref="H11:H14"/>
    <mergeCell ref="H15:H18"/>
    <mergeCell ref="J21:O24"/>
  </mergeCells>
  <conditionalFormatting sqref="H7:H9">
    <cfRule type="cellIs" dxfId="78" priority="8" operator="equal">
      <formula>"Connecticut"</formula>
    </cfRule>
  </conditionalFormatting>
  <conditionalFormatting sqref="J7:O9">
    <cfRule type="cellIs" dxfId="77" priority="6" operator="equal">
      <formula>2</formula>
    </cfRule>
    <cfRule type="cellIs" dxfId="76" priority="7" operator="equal">
      <formula>"two"</formula>
    </cfRule>
  </conditionalFormatting>
  <conditionalFormatting sqref="H15:H18">
    <cfRule type="cellIs" dxfId="75" priority="5" operator="equal">
      <formula>"Georgia"</formula>
    </cfRule>
  </conditionalFormatting>
  <conditionalFormatting sqref="J15:O18">
    <cfRule type="cellIs" dxfId="74" priority="4" operator="equal">
      <formula>"Purple"</formula>
    </cfRule>
  </conditionalFormatting>
  <conditionalFormatting sqref="H25:H28">
    <cfRule type="cellIs" dxfId="73" priority="3" operator="equal">
      <formula>"Column"</formula>
    </cfRule>
  </conditionalFormatting>
  <conditionalFormatting sqref="J25:O28">
    <cfRule type="cellIs" dxfId="72" priority="1" operator="equal">
      <formula>3</formula>
    </cfRule>
    <cfRule type="cellIs" dxfId="71" priority="2" operator="equal">
      <formula>"Three"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0" zoomScaleNormal="70" workbookViewId="0">
      <selection activeCell="L23" sqref="L23:L24"/>
    </sheetView>
  </sheetViews>
  <sheetFormatPr defaultRowHeight="15" x14ac:dyDescent="0.25"/>
  <cols>
    <col min="2" max="2" width="15.28515625" bestFit="1" customWidth="1"/>
    <col min="3" max="3" width="15.42578125" bestFit="1" customWidth="1"/>
    <col min="4" max="4" width="21.7109375" bestFit="1" customWidth="1"/>
    <col min="5" max="5" width="19.42578125" bestFit="1" customWidth="1"/>
    <col min="6" max="6" width="25.7109375" bestFit="1" customWidth="1"/>
    <col min="7" max="7" width="22.140625" bestFit="1" customWidth="1"/>
    <col min="11" max="11" width="27.85546875" customWidth="1"/>
    <col min="12" max="12" width="9.5703125" customWidth="1"/>
    <col min="13" max="13" width="30.7109375" customWidth="1"/>
    <col min="15" max="15" width="32.42578125" customWidth="1"/>
  </cols>
  <sheetData>
    <row r="1" spans="1:15" x14ac:dyDescent="0.25">
      <c r="A1" s="17"/>
      <c r="B1" s="36"/>
      <c r="C1" s="36"/>
      <c r="D1" s="36"/>
      <c r="E1" s="36"/>
      <c r="F1" s="36"/>
      <c r="G1" s="36"/>
      <c r="H1" s="36"/>
      <c r="I1" s="36"/>
      <c r="J1" s="17"/>
      <c r="K1" s="17"/>
      <c r="L1" s="17"/>
      <c r="M1" s="17"/>
      <c r="N1" s="17"/>
      <c r="O1" s="17"/>
    </row>
    <row r="2" spans="1:15" x14ac:dyDescent="0.25">
      <c r="A2" s="17"/>
      <c r="B2" s="161" t="s">
        <v>69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7"/>
      <c r="O2" s="17"/>
    </row>
    <row r="3" spans="1:15" ht="21" customHeight="1" x14ac:dyDescent="0.25">
      <c r="A3" s="17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7"/>
      <c r="O3" s="17"/>
    </row>
    <row r="4" spans="1:15" ht="15.75" thickBot="1" x14ac:dyDescent="0.3">
      <c r="A4" s="17"/>
      <c r="B4" s="38"/>
      <c r="C4" s="17"/>
      <c r="D4" s="17"/>
      <c r="E4" s="17"/>
      <c r="F4" s="17"/>
      <c r="G4" s="17"/>
      <c r="H4" s="38"/>
      <c r="I4" s="38"/>
      <c r="J4" s="35"/>
      <c r="K4" s="35"/>
      <c r="L4" s="35"/>
      <c r="M4" s="35"/>
      <c r="N4" s="17"/>
      <c r="O4" s="17"/>
    </row>
    <row r="5" spans="1:15" x14ac:dyDescent="0.25">
      <c r="A5" s="17"/>
      <c r="B5" s="38"/>
      <c r="C5" s="17"/>
      <c r="D5" s="17"/>
      <c r="E5" s="17"/>
      <c r="F5" s="17"/>
      <c r="G5" s="17"/>
      <c r="H5" s="38"/>
      <c r="I5" s="38"/>
      <c r="J5" s="155" t="s">
        <v>66</v>
      </c>
      <c r="K5" s="156"/>
      <c r="L5" s="168"/>
      <c r="M5" s="169"/>
      <c r="N5" s="90">
        <f>IF(L5=3,1,0)</f>
        <v>0</v>
      </c>
      <c r="O5" s="17"/>
    </row>
    <row r="6" spans="1:15" x14ac:dyDescent="0.25">
      <c r="A6" s="17"/>
      <c r="B6" s="38"/>
      <c r="C6" s="17"/>
      <c r="D6" s="17"/>
      <c r="E6" s="17" t="s">
        <v>74</v>
      </c>
      <c r="F6" s="17" t="s">
        <v>75</v>
      </c>
      <c r="G6" s="17" t="s">
        <v>54</v>
      </c>
      <c r="H6" s="38"/>
      <c r="I6" s="38"/>
      <c r="J6" s="157"/>
      <c r="K6" s="158"/>
      <c r="L6" s="170"/>
      <c r="M6" s="171"/>
      <c r="N6" s="90">
        <f>IF(L5="three",1,0)</f>
        <v>0</v>
      </c>
      <c r="O6" s="17"/>
    </row>
    <row r="7" spans="1:15" ht="21" x14ac:dyDescent="0.25">
      <c r="A7" s="17"/>
      <c r="B7" s="38"/>
      <c r="C7" s="39">
        <v>2000</v>
      </c>
      <c r="D7" s="39" t="s">
        <v>47</v>
      </c>
      <c r="E7" s="37">
        <v>895976</v>
      </c>
      <c r="F7" s="37">
        <v>673040</v>
      </c>
      <c r="G7" s="37">
        <f>SUM(E7:F7)</f>
        <v>1569016</v>
      </c>
      <c r="H7" s="38"/>
      <c r="I7" s="38"/>
      <c r="J7" s="157"/>
      <c r="K7" s="158"/>
      <c r="L7" s="170"/>
      <c r="M7" s="171"/>
      <c r="N7" s="90"/>
      <c r="O7" s="17"/>
    </row>
    <row r="8" spans="1:15" ht="45.75" customHeight="1" thickBot="1" x14ac:dyDescent="0.3">
      <c r="A8" s="17"/>
      <c r="B8" s="38"/>
      <c r="C8" s="39">
        <v>2000</v>
      </c>
      <c r="D8" s="39" t="s">
        <v>48</v>
      </c>
      <c r="E8" s="37">
        <v>495184</v>
      </c>
      <c r="F8" s="37">
        <v>728600</v>
      </c>
      <c r="G8" s="37">
        <f t="shared" ref="G8:G11" si="0">SUM(E8:F8)</f>
        <v>1223784</v>
      </c>
      <c r="H8" s="38"/>
      <c r="I8" s="38"/>
      <c r="J8" s="159"/>
      <c r="K8" s="160"/>
      <c r="L8" s="172"/>
      <c r="M8" s="173"/>
      <c r="N8" s="90"/>
      <c r="O8" s="17"/>
    </row>
    <row r="9" spans="1:15" ht="44.25" customHeight="1" thickBot="1" x14ac:dyDescent="0.3">
      <c r="A9" s="17"/>
      <c r="B9" s="36"/>
      <c r="C9" s="39">
        <v>2000</v>
      </c>
      <c r="D9" s="39" t="s">
        <v>49</v>
      </c>
      <c r="E9" s="37">
        <v>756532</v>
      </c>
      <c r="F9" s="37">
        <v>618200</v>
      </c>
      <c r="G9" s="37">
        <f t="shared" si="0"/>
        <v>1374732</v>
      </c>
      <c r="H9" s="36"/>
      <c r="I9" s="36"/>
      <c r="J9" s="155" t="s">
        <v>121</v>
      </c>
      <c r="K9" s="156"/>
      <c r="L9" s="102"/>
      <c r="M9" s="40" t="s">
        <v>47</v>
      </c>
      <c r="N9" s="90"/>
      <c r="O9" s="17"/>
    </row>
    <row r="10" spans="1:15" ht="33.75" customHeight="1" thickBot="1" x14ac:dyDescent="0.3">
      <c r="A10" s="17"/>
      <c r="B10" s="17"/>
      <c r="C10" s="39">
        <v>2000</v>
      </c>
      <c r="D10" s="39" t="s">
        <v>50</v>
      </c>
      <c r="E10" s="37">
        <v>866208</v>
      </c>
      <c r="F10" s="37">
        <v>742576</v>
      </c>
      <c r="G10" s="37">
        <f t="shared" si="0"/>
        <v>1608784</v>
      </c>
      <c r="H10" s="17"/>
      <c r="I10" s="17"/>
      <c r="J10" s="157"/>
      <c r="K10" s="158"/>
      <c r="L10" s="102"/>
      <c r="M10" s="40" t="s">
        <v>48</v>
      </c>
      <c r="N10" s="90">
        <f>IF(L10="x",1,0)</f>
        <v>0</v>
      </c>
      <c r="O10" s="17"/>
    </row>
    <row r="11" spans="1:15" ht="21.75" customHeight="1" x14ac:dyDescent="0.25">
      <c r="A11" s="17"/>
      <c r="B11" s="17"/>
      <c r="C11" s="39">
        <v>2000</v>
      </c>
      <c r="D11" s="39" t="s">
        <v>52</v>
      </c>
      <c r="E11" s="37">
        <v>651616</v>
      </c>
      <c r="F11" s="37">
        <v>943000</v>
      </c>
      <c r="G11" s="37">
        <f t="shared" si="0"/>
        <v>1594616</v>
      </c>
      <c r="H11" s="17"/>
      <c r="I11" s="17"/>
      <c r="J11" s="157"/>
      <c r="K11" s="158"/>
      <c r="L11" s="123"/>
      <c r="M11" s="164" t="s">
        <v>49</v>
      </c>
      <c r="N11" s="90"/>
      <c r="O11" s="17"/>
    </row>
    <row r="12" spans="1:15" ht="19.5" customHeight="1" thickBo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57"/>
      <c r="K12" s="158"/>
      <c r="L12" s="125"/>
      <c r="M12" s="165"/>
      <c r="N12" s="90"/>
      <c r="O12" s="17"/>
    </row>
    <row r="13" spans="1:15" ht="1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57"/>
      <c r="K13" s="158"/>
      <c r="L13" s="123"/>
      <c r="M13" s="166" t="s">
        <v>62</v>
      </c>
      <c r="N13" s="90">
        <f>IF(L13="x",1,0)</f>
        <v>0</v>
      </c>
      <c r="O13" s="17"/>
    </row>
    <row r="14" spans="1:15" ht="22.5" customHeight="1" thickBo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57"/>
      <c r="K14" s="158"/>
      <c r="L14" s="125"/>
      <c r="M14" s="167"/>
      <c r="N14" s="90"/>
      <c r="O14" s="17"/>
    </row>
    <row r="15" spans="1:15" ht="19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57"/>
      <c r="K15" s="158"/>
      <c r="L15" s="123"/>
      <c r="M15" s="166" t="s">
        <v>52</v>
      </c>
      <c r="N15" s="90">
        <f>IF(L15="x",1,0)</f>
        <v>0</v>
      </c>
      <c r="O15" s="17"/>
    </row>
    <row r="16" spans="1:15" ht="15" customHeight="1" thickBot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59"/>
      <c r="K16" s="160"/>
      <c r="L16" s="125"/>
      <c r="M16" s="167"/>
      <c r="N16" s="90"/>
      <c r="O16" s="17"/>
    </row>
    <row r="17" spans="1:15" ht="1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55" t="s">
        <v>122</v>
      </c>
      <c r="K17" s="156"/>
      <c r="L17" s="123"/>
      <c r="M17" s="153" t="s">
        <v>47</v>
      </c>
      <c r="N17" s="90"/>
      <c r="O17" s="17"/>
    </row>
    <row r="18" spans="1:15" ht="15" customHeight="1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57"/>
      <c r="K18" s="158"/>
      <c r="L18" s="125"/>
      <c r="M18" s="154"/>
      <c r="N18" s="90">
        <f>IF(L17="x",1,0)</f>
        <v>0</v>
      </c>
      <c r="O18" s="17"/>
    </row>
    <row r="19" spans="1:15" ht="1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57"/>
      <c r="K19" s="158"/>
      <c r="L19" s="162"/>
      <c r="M19" s="153" t="s">
        <v>48</v>
      </c>
      <c r="N19" s="90"/>
      <c r="O19" s="17"/>
    </row>
    <row r="20" spans="1:15" ht="15" customHeight="1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57"/>
      <c r="K20" s="158"/>
      <c r="L20" s="163"/>
      <c r="M20" s="154"/>
      <c r="N20" s="90"/>
      <c r="O20" s="17"/>
    </row>
    <row r="21" spans="1:15" ht="1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57"/>
      <c r="K21" s="158"/>
      <c r="L21" s="162"/>
      <c r="M21" s="153" t="s">
        <v>49</v>
      </c>
      <c r="N21" s="90">
        <f>IF(L21="x",1,0)</f>
        <v>0</v>
      </c>
      <c r="O21" s="17"/>
    </row>
    <row r="22" spans="1:15" ht="15" customHeight="1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57"/>
      <c r="K22" s="158"/>
      <c r="L22" s="163"/>
      <c r="M22" s="154"/>
      <c r="N22" s="90"/>
      <c r="O22" s="17"/>
    </row>
    <row r="23" spans="1:15" ht="1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57"/>
      <c r="K23" s="158"/>
      <c r="L23" s="162"/>
      <c r="M23" s="153" t="s">
        <v>62</v>
      </c>
      <c r="N23" s="90">
        <f>IF(L23="x",1,0)</f>
        <v>0</v>
      </c>
      <c r="O23" s="17"/>
    </row>
    <row r="24" spans="1:15" ht="15.75" customHeight="1" thickBo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57"/>
      <c r="K24" s="158"/>
      <c r="L24" s="163"/>
      <c r="M24" s="154"/>
      <c r="N24" s="90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57"/>
      <c r="K25" s="158"/>
      <c r="L25" s="162"/>
      <c r="M25" s="153" t="s">
        <v>52</v>
      </c>
      <c r="N25" s="90"/>
      <c r="O25" s="17"/>
    </row>
    <row r="26" spans="1:15" ht="15.75" thickBo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59"/>
      <c r="K26" s="160"/>
      <c r="L26" s="163"/>
      <c r="M26" s="154"/>
      <c r="N26" s="90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90"/>
      <c r="O27" s="17"/>
    </row>
    <row r="28" spans="1:15" ht="1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90">
        <f>SUM(N5:O26)</f>
        <v>0</v>
      </c>
      <c r="O28" s="17"/>
    </row>
    <row r="29" spans="1:15" ht="1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90"/>
      <c r="O29" s="17"/>
    </row>
    <row r="30" spans="1:15" ht="1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90"/>
      <c r="O30" s="17"/>
    </row>
    <row r="31" spans="1:15" ht="34.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sheet="1" objects="1" scenarios="1" selectLockedCells="1"/>
  <mergeCells count="21">
    <mergeCell ref="B2:M3"/>
    <mergeCell ref="L23:L24"/>
    <mergeCell ref="L25:L26"/>
    <mergeCell ref="M19:M20"/>
    <mergeCell ref="M21:M22"/>
    <mergeCell ref="M23:M24"/>
    <mergeCell ref="M25:M26"/>
    <mergeCell ref="M11:M12"/>
    <mergeCell ref="L11:L12"/>
    <mergeCell ref="J9:K16"/>
    <mergeCell ref="M13:M14"/>
    <mergeCell ref="M15:M16"/>
    <mergeCell ref="L5:M8"/>
    <mergeCell ref="L19:L20"/>
    <mergeCell ref="L21:L22"/>
    <mergeCell ref="L17:L18"/>
    <mergeCell ref="L15:L16"/>
    <mergeCell ref="L13:L14"/>
    <mergeCell ref="M17:M18"/>
    <mergeCell ref="J5:K8"/>
    <mergeCell ref="J17:K26"/>
  </mergeCells>
  <conditionalFormatting sqref="L5:M8">
    <cfRule type="cellIs" dxfId="70" priority="4" operator="equal">
      <formula>3</formula>
    </cfRule>
    <cfRule type="cellIs" dxfId="69" priority="5" operator="equal">
      <formula>"three"</formula>
    </cfRule>
  </conditionalFormatting>
  <conditionalFormatting sqref="L10">
    <cfRule type="cellIs" dxfId="68" priority="3" operator="equal">
      <formula>"x"</formula>
    </cfRule>
  </conditionalFormatting>
  <conditionalFormatting sqref="L13:L18">
    <cfRule type="cellIs" dxfId="67" priority="2" operator="equal">
      <formula>"x"</formula>
    </cfRule>
  </conditionalFormatting>
  <conditionalFormatting sqref="L21:L24">
    <cfRule type="cellIs" dxfId="66" priority="1" operator="equal">
      <formula>"x"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52" zoomScale="90" zoomScaleNormal="90" workbookViewId="0">
      <selection activeCell="J77" sqref="J77:L80"/>
    </sheetView>
  </sheetViews>
  <sheetFormatPr defaultRowHeight="15" x14ac:dyDescent="0.25"/>
  <cols>
    <col min="2" max="2" width="15.28515625" bestFit="1" customWidth="1"/>
    <col min="3" max="3" width="11.140625" bestFit="1" customWidth="1"/>
    <col min="4" max="4" width="13.140625" bestFit="1" customWidth="1"/>
    <col min="5" max="5" width="9" customWidth="1"/>
    <col min="6" max="6" width="12.7109375" customWidth="1"/>
    <col min="7" max="7" width="10" customWidth="1"/>
    <col min="8" max="8" width="13.7109375" customWidth="1"/>
    <col min="9" max="9" width="6.28515625" customWidth="1"/>
    <col min="10" max="10" width="13.7109375" bestFit="1" customWidth="1"/>
    <col min="11" max="11" width="25.140625" bestFit="1" customWidth="1"/>
    <col min="12" max="12" width="11.5703125" customWidth="1"/>
    <col min="13" max="13" width="37.42578125" customWidth="1"/>
  </cols>
  <sheetData>
    <row r="1" spans="1:15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M1" s="12"/>
      <c r="N1" s="12"/>
      <c r="O1" s="12"/>
    </row>
    <row r="2" spans="1:15" hidden="1" x14ac:dyDescent="0.25">
      <c r="A2" s="107">
        <v>1999</v>
      </c>
      <c r="B2" s="2" t="s">
        <v>30</v>
      </c>
      <c r="C2" s="3">
        <v>299028000</v>
      </c>
      <c r="D2" s="3">
        <v>363200000</v>
      </c>
      <c r="E2" s="3">
        <f>SUM(C2:D2)</f>
        <v>662228000</v>
      </c>
      <c r="F2" s="3"/>
      <c r="M2" s="12"/>
      <c r="N2" s="12"/>
      <c r="O2" s="12"/>
    </row>
    <row r="3" spans="1:15" hidden="1" x14ac:dyDescent="0.25">
      <c r="A3" s="107"/>
      <c r="B3" s="2" t="s">
        <v>36</v>
      </c>
      <c r="C3" s="3">
        <v>358332000</v>
      </c>
      <c r="D3" s="3">
        <v>349000000</v>
      </c>
      <c r="E3" s="3">
        <f t="shared" ref="E3:E51" si="0">SUM(C3:D3)</f>
        <v>707332000</v>
      </c>
      <c r="F3" s="3"/>
      <c r="M3" s="12"/>
      <c r="N3" s="12"/>
      <c r="O3" s="12"/>
    </row>
    <row r="4" spans="1:15" hidden="1" x14ac:dyDescent="0.25">
      <c r="A4" s="107"/>
      <c r="B4" s="2" t="s">
        <v>39</v>
      </c>
      <c r="C4" s="3">
        <v>401424000</v>
      </c>
      <c r="D4" s="3">
        <v>373400000</v>
      </c>
      <c r="E4" s="3">
        <f t="shared" si="0"/>
        <v>774824000</v>
      </c>
      <c r="F4" s="3"/>
      <c r="M4" s="12"/>
      <c r="N4" s="12"/>
      <c r="O4" s="12"/>
    </row>
    <row r="5" spans="1:15" hidden="1" x14ac:dyDescent="0.25">
      <c r="A5" s="107"/>
      <c r="B5" s="2" t="s">
        <v>46</v>
      </c>
      <c r="C5" s="3">
        <v>488744000</v>
      </c>
      <c r="D5" s="3">
        <v>451188000</v>
      </c>
      <c r="E5" s="3">
        <f t="shared" si="0"/>
        <v>939932000</v>
      </c>
      <c r="F5" s="3"/>
      <c r="M5" s="12"/>
      <c r="N5" s="12"/>
      <c r="O5" s="12"/>
    </row>
    <row r="6" spans="1:15" hidden="1" x14ac:dyDescent="0.25">
      <c r="A6" s="107"/>
      <c r="B6" s="2" t="s">
        <v>53</v>
      </c>
      <c r="C6" s="3">
        <v>657880000</v>
      </c>
      <c r="D6" s="3">
        <v>688744000</v>
      </c>
      <c r="E6" s="3">
        <f t="shared" si="0"/>
        <v>1346624000</v>
      </c>
      <c r="F6" s="3"/>
      <c r="M6" s="12"/>
      <c r="N6" s="12"/>
      <c r="O6" s="12"/>
    </row>
    <row r="7" spans="1:15" hidden="1" x14ac:dyDescent="0.25">
      <c r="A7" s="107">
        <v>2000</v>
      </c>
      <c r="B7" s="2" t="s">
        <v>47</v>
      </c>
      <c r="C7" s="3">
        <v>495976000</v>
      </c>
      <c r="D7" s="3">
        <v>673040000</v>
      </c>
      <c r="E7" s="3">
        <f t="shared" si="0"/>
        <v>1169016000</v>
      </c>
      <c r="F7" s="3"/>
      <c r="M7" s="12"/>
      <c r="N7" s="12"/>
      <c r="O7" s="12"/>
    </row>
    <row r="8" spans="1:15" hidden="1" x14ac:dyDescent="0.25">
      <c r="A8" s="107"/>
      <c r="B8" s="2" t="s">
        <v>48</v>
      </c>
      <c r="C8" s="3">
        <v>535184000</v>
      </c>
      <c r="D8" s="3">
        <v>628600000</v>
      </c>
      <c r="E8" s="3">
        <f t="shared" si="0"/>
        <v>1163784000</v>
      </c>
      <c r="F8" s="3"/>
      <c r="M8" s="12"/>
      <c r="N8" s="12"/>
      <c r="O8" s="12"/>
    </row>
    <row r="9" spans="1:15" hidden="1" x14ac:dyDescent="0.25">
      <c r="A9" s="107"/>
      <c r="B9" s="2" t="s">
        <v>49</v>
      </c>
      <c r="C9" s="3">
        <v>556532000</v>
      </c>
      <c r="D9" s="3">
        <v>678200000</v>
      </c>
      <c r="E9" s="3">
        <f t="shared" si="0"/>
        <v>1234732000</v>
      </c>
      <c r="F9" s="3"/>
      <c r="M9" s="12"/>
      <c r="N9" s="12"/>
      <c r="O9" s="12"/>
    </row>
    <row r="10" spans="1:15" hidden="1" x14ac:dyDescent="0.25">
      <c r="A10" s="107"/>
      <c r="B10" s="2" t="s">
        <v>50</v>
      </c>
      <c r="C10" s="3">
        <v>566208000</v>
      </c>
      <c r="D10" s="3">
        <v>742576000</v>
      </c>
      <c r="E10" s="3">
        <f t="shared" si="0"/>
        <v>1308784000</v>
      </c>
      <c r="F10" s="3"/>
      <c r="M10" s="12"/>
      <c r="N10" s="12"/>
      <c r="O10" s="12"/>
    </row>
    <row r="11" spans="1:15" hidden="1" x14ac:dyDescent="0.25">
      <c r="A11" s="107"/>
      <c r="B11" s="2" t="s">
        <v>52</v>
      </c>
      <c r="C11" s="3">
        <v>651616000</v>
      </c>
      <c r="D11" s="3">
        <v>943000000</v>
      </c>
      <c r="E11" s="3">
        <f t="shared" si="0"/>
        <v>1594616000</v>
      </c>
      <c r="F11" s="3"/>
      <c r="M11" s="12"/>
      <c r="N11" s="12"/>
      <c r="O11" s="12"/>
    </row>
    <row r="12" spans="1:15" hidden="1" x14ac:dyDescent="0.25">
      <c r="A12" s="107">
        <v>2001</v>
      </c>
      <c r="B12" s="2" t="s">
        <v>38</v>
      </c>
      <c r="C12" s="3">
        <v>370564000</v>
      </c>
      <c r="D12" s="3">
        <v>353000000</v>
      </c>
      <c r="E12" s="3">
        <f t="shared" si="0"/>
        <v>723564000</v>
      </c>
      <c r="F12" s="3"/>
      <c r="M12" s="12"/>
      <c r="N12" s="12"/>
      <c r="O12" s="12"/>
    </row>
    <row r="13" spans="1:15" hidden="1" x14ac:dyDescent="0.25">
      <c r="A13" s="107"/>
      <c r="B13" s="2" t="s">
        <v>43</v>
      </c>
      <c r="C13" s="3">
        <v>427876000</v>
      </c>
      <c r="D13" s="3">
        <v>627600000</v>
      </c>
      <c r="E13" s="3">
        <f t="shared" si="0"/>
        <v>1055476000</v>
      </c>
      <c r="F13" s="3"/>
      <c r="G13" s="4"/>
      <c r="H13" s="4"/>
      <c r="M13" s="12"/>
      <c r="N13" s="12"/>
      <c r="O13" s="12"/>
    </row>
    <row r="14" spans="1:15" hidden="1" x14ac:dyDescent="0.25">
      <c r="A14" s="107"/>
      <c r="B14" s="2" t="s">
        <v>44</v>
      </c>
      <c r="C14" s="3">
        <v>447100000</v>
      </c>
      <c r="D14" s="3">
        <v>423000000</v>
      </c>
      <c r="E14" s="3">
        <f t="shared" si="0"/>
        <v>870100000</v>
      </c>
      <c r="F14" s="3"/>
      <c r="G14" s="4"/>
      <c r="H14" s="4"/>
      <c r="M14" s="12"/>
      <c r="N14" s="12"/>
      <c r="O14" s="12"/>
    </row>
    <row r="15" spans="1:15" hidden="1" x14ac:dyDescent="0.25">
      <c r="A15" s="107"/>
      <c r="B15" s="2" t="s">
        <v>45</v>
      </c>
      <c r="C15" s="3">
        <v>459404000</v>
      </c>
      <c r="D15" s="3">
        <v>423400000</v>
      </c>
      <c r="E15" s="3">
        <f t="shared" si="0"/>
        <v>882804000</v>
      </c>
      <c r="F15" s="3"/>
      <c r="G15" s="4"/>
      <c r="H15" s="4"/>
      <c r="M15" s="12"/>
      <c r="N15" s="12"/>
      <c r="O15" s="12"/>
    </row>
    <row r="16" spans="1:15" hidden="1" x14ac:dyDescent="0.25">
      <c r="A16" s="107"/>
      <c r="B16" s="2" t="s">
        <v>51</v>
      </c>
      <c r="C16" s="3">
        <v>619640000</v>
      </c>
      <c r="D16" s="3">
        <v>655400000</v>
      </c>
      <c r="E16" s="3">
        <f t="shared" si="0"/>
        <v>1275040000</v>
      </c>
      <c r="F16" s="3"/>
      <c r="G16" s="4"/>
      <c r="H16" s="4"/>
      <c r="M16" s="12"/>
      <c r="N16" s="12"/>
      <c r="O16" s="12"/>
    </row>
    <row r="17" spans="1:15" hidden="1" x14ac:dyDescent="0.25">
      <c r="A17" s="107">
        <v>2002</v>
      </c>
      <c r="B17" s="2" t="s">
        <v>26</v>
      </c>
      <c r="C17" s="3">
        <v>286468000</v>
      </c>
      <c r="D17" s="3">
        <v>361600000</v>
      </c>
      <c r="E17" s="3">
        <f t="shared" si="0"/>
        <v>648068000</v>
      </c>
      <c r="F17" s="3"/>
      <c r="M17" s="12"/>
      <c r="N17" s="12"/>
      <c r="O17" s="12"/>
    </row>
    <row r="18" spans="1:15" hidden="1" x14ac:dyDescent="0.25">
      <c r="A18" s="107"/>
      <c r="B18" s="2" t="s">
        <v>28</v>
      </c>
      <c r="C18" s="3">
        <v>289600000</v>
      </c>
      <c r="D18" s="3">
        <v>290000000</v>
      </c>
      <c r="E18" s="3">
        <f t="shared" si="0"/>
        <v>579600000</v>
      </c>
      <c r="F18" s="3"/>
      <c r="G18" s="4"/>
      <c r="H18" s="4"/>
      <c r="M18" s="12"/>
      <c r="N18" s="12"/>
      <c r="O18" s="12"/>
    </row>
    <row r="19" spans="1:15" hidden="1" x14ac:dyDescent="0.25">
      <c r="A19" s="107"/>
      <c r="B19" s="2" t="s">
        <v>34</v>
      </c>
      <c r="C19" s="3">
        <v>327200000</v>
      </c>
      <c r="D19" s="3">
        <v>362600000</v>
      </c>
      <c r="E19" s="3">
        <f t="shared" si="0"/>
        <v>689800000</v>
      </c>
      <c r="F19" s="3"/>
      <c r="G19" s="4"/>
      <c r="H19" s="4"/>
      <c r="M19" s="12"/>
      <c r="N19" s="12"/>
      <c r="O19" s="12"/>
    </row>
    <row r="20" spans="1:15" hidden="1" x14ac:dyDescent="0.25">
      <c r="A20" s="107"/>
      <c r="B20" s="2" t="s">
        <v>40</v>
      </c>
      <c r="C20" s="3">
        <v>402204000</v>
      </c>
      <c r="D20" s="3">
        <v>362000000</v>
      </c>
      <c r="E20" s="3">
        <f t="shared" si="0"/>
        <v>764204000</v>
      </c>
      <c r="F20" s="3"/>
      <c r="G20" s="4"/>
      <c r="H20" s="4"/>
      <c r="M20" s="12"/>
      <c r="N20" s="12"/>
      <c r="O20" s="12"/>
    </row>
    <row r="21" spans="1:15" hidden="1" x14ac:dyDescent="0.25">
      <c r="A21" s="107"/>
      <c r="B21" s="2" t="s">
        <v>42</v>
      </c>
      <c r="C21" s="3">
        <v>414832000</v>
      </c>
      <c r="D21" s="3">
        <v>217200000</v>
      </c>
      <c r="E21" s="3">
        <f t="shared" si="0"/>
        <v>632032000</v>
      </c>
      <c r="F21" s="3"/>
      <c r="G21" s="4"/>
      <c r="H21" s="4"/>
      <c r="M21" s="12"/>
      <c r="N21" s="12"/>
      <c r="O21" s="12"/>
    </row>
    <row r="22" spans="1:15" hidden="1" x14ac:dyDescent="0.25">
      <c r="A22" s="107">
        <v>2003</v>
      </c>
      <c r="B22" s="2" t="s">
        <v>7</v>
      </c>
      <c r="C22" s="3">
        <v>228200000</v>
      </c>
      <c r="D22" s="3">
        <v>225000000</v>
      </c>
      <c r="E22" s="3">
        <f t="shared" si="0"/>
        <v>453200000</v>
      </c>
      <c r="F22" s="3"/>
      <c r="M22" s="12"/>
      <c r="N22" s="12"/>
      <c r="O22" s="12"/>
    </row>
    <row r="23" spans="1:15" hidden="1" x14ac:dyDescent="0.25">
      <c r="A23" s="107"/>
      <c r="B23" s="2" t="s">
        <v>8</v>
      </c>
      <c r="C23" s="3">
        <v>229800000</v>
      </c>
      <c r="D23" s="3">
        <v>228000000</v>
      </c>
      <c r="E23" s="3">
        <f t="shared" si="0"/>
        <v>457800000</v>
      </c>
      <c r="F23" s="3"/>
      <c r="G23" s="4"/>
      <c r="H23" s="4"/>
      <c r="M23" s="12"/>
      <c r="N23" s="12"/>
      <c r="O23" s="12"/>
    </row>
    <row r="24" spans="1:15" hidden="1" x14ac:dyDescent="0.25">
      <c r="A24" s="107"/>
      <c r="B24" s="2" t="s">
        <v>9</v>
      </c>
      <c r="C24" s="3">
        <v>231400000</v>
      </c>
      <c r="D24" s="3">
        <v>217400000</v>
      </c>
      <c r="E24" s="3">
        <f t="shared" si="0"/>
        <v>448800000</v>
      </c>
      <c r="F24" s="3"/>
      <c r="G24" s="4"/>
      <c r="H24" s="4"/>
      <c r="M24" s="12"/>
      <c r="N24" s="12"/>
      <c r="O24" s="12"/>
    </row>
    <row r="25" spans="1:15" hidden="1" x14ac:dyDescent="0.25">
      <c r="A25" s="107"/>
      <c r="B25" s="2" t="s">
        <v>10</v>
      </c>
      <c r="C25" s="3">
        <v>232400000</v>
      </c>
      <c r="D25" s="3">
        <v>225000000</v>
      </c>
      <c r="E25" s="3">
        <f t="shared" si="0"/>
        <v>457400000</v>
      </c>
      <c r="F25" s="3"/>
      <c r="G25" s="4"/>
      <c r="H25" s="4"/>
      <c r="M25" s="12"/>
      <c r="N25" s="12"/>
      <c r="O25" s="12"/>
    </row>
    <row r="26" spans="1:15" hidden="1" x14ac:dyDescent="0.25">
      <c r="A26" s="107"/>
      <c r="B26" s="2" t="s">
        <v>11</v>
      </c>
      <c r="C26" s="3">
        <v>237400000</v>
      </c>
      <c r="D26" s="3">
        <v>225800000</v>
      </c>
      <c r="E26" s="3">
        <f t="shared" si="0"/>
        <v>463200000</v>
      </c>
      <c r="F26" s="3"/>
      <c r="G26" s="4"/>
      <c r="H26" s="4"/>
      <c r="M26" s="12"/>
      <c r="N26" s="12"/>
      <c r="O26" s="12"/>
    </row>
    <row r="27" spans="1:15" hidden="1" x14ac:dyDescent="0.25">
      <c r="A27" s="107">
        <v>2004</v>
      </c>
      <c r="B27" s="2" t="s">
        <v>5</v>
      </c>
      <c r="C27" s="3">
        <v>225800000</v>
      </c>
      <c r="D27" s="3">
        <v>233800000</v>
      </c>
      <c r="E27" s="3">
        <f t="shared" si="0"/>
        <v>459600000</v>
      </c>
      <c r="F27" s="3"/>
      <c r="M27" s="12"/>
      <c r="N27" s="12"/>
      <c r="O27" s="12"/>
    </row>
    <row r="28" spans="1:15" hidden="1" x14ac:dyDescent="0.25">
      <c r="A28" s="107"/>
      <c r="B28" s="2" t="s">
        <v>6</v>
      </c>
      <c r="C28" s="3">
        <v>226800000</v>
      </c>
      <c r="D28" s="3">
        <v>226400000</v>
      </c>
      <c r="E28" s="3">
        <f t="shared" si="0"/>
        <v>453200000</v>
      </c>
      <c r="F28" s="3"/>
      <c r="G28" s="4"/>
      <c r="H28" s="4"/>
      <c r="M28" s="12"/>
      <c r="N28" s="12"/>
      <c r="O28" s="12"/>
    </row>
    <row r="29" spans="1:15" hidden="1" x14ac:dyDescent="0.25">
      <c r="A29" s="107"/>
      <c r="B29" s="2" t="s">
        <v>12</v>
      </c>
      <c r="C29" s="3">
        <v>241600000</v>
      </c>
      <c r="D29" s="3">
        <v>240200000</v>
      </c>
      <c r="E29" s="3">
        <f t="shared" si="0"/>
        <v>481800000</v>
      </c>
      <c r="F29" s="3"/>
      <c r="G29" s="4"/>
      <c r="H29" s="4"/>
      <c r="M29" s="12"/>
      <c r="N29" s="12"/>
      <c r="O29" s="12"/>
    </row>
    <row r="30" spans="1:15" hidden="1" x14ac:dyDescent="0.25">
      <c r="A30" s="107"/>
      <c r="B30" s="2" t="s">
        <v>15</v>
      </c>
      <c r="C30" s="3">
        <v>251400000</v>
      </c>
      <c r="D30" s="3">
        <v>213800000</v>
      </c>
      <c r="E30" s="3">
        <f t="shared" si="0"/>
        <v>465200000</v>
      </c>
      <c r="F30" s="3"/>
      <c r="G30" s="4"/>
      <c r="H30" s="4"/>
      <c r="M30" s="12"/>
      <c r="N30" s="12"/>
      <c r="O30" s="12"/>
    </row>
    <row r="31" spans="1:15" hidden="1" x14ac:dyDescent="0.25">
      <c r="A31" s="107"/>
      <c r="B31" s="2" t="s">
        <v>19</v>
      </c>
      <c r="C31" s="3">
        <v>263000000</v>
      </c>
      <c r="D31" s="3">
        <v>278800000</v>
      </c>
      <c r="E31" s="3">
        <f t="shared" si="0"/>
        <v>541800000</v>
      </c>
      <c r="F31" s="3"/>
      <c r="G31" s="4"/>
      <c r="H31" s="4"/>
      <c r="M31" s="12"/>
      <c r="N31" s="12"/>
      <c r="O31" s="12"/>
    </row>
    <row r="32" spans="1:15" hidden="1" x14ac:dyDescent="0.25">
      <c r="A32" s="107">
        <v>2005</v>
      </c>
      <c r="B32" s="2" t="s">
        <v>14</v>
      </c>
      <c r="C32" s="3">
        <v>248400000</v>
      </c>
      <c r="D32" s="3">
        <v>239600000</v>
      </c>
      <c r="E32" s="3">
        <f t="shared" si="0"/>
        <v>488000000</v>
      </c>
      <c r="F32" s="3"/>
      <c r="M32" s="12"/>
      <c r="N32" s="12"/>
      <c r="O32" s="12"/>
    </row>
    <row r="33" spans="1:15" hidden="1" x14ac:dyDescent="0.25">
      <c r="A33" s="107"/>
      <c r="B33" s="2" t="s">
        <v>20</v>
      </c>
      <c r="C33" s="3">
        <v>263200000</v>
      </c>
      <c r="D33" s="3">
        <v>257200000</v>
      </c>
      <c r="E33" s="3">
        <f t="shared" si="0"/>
        <v>520400000</v>
      </c>
      <c r="F33" s="3"/>
      <c r="G33" s="4"/>
      <c r="H33" s="4"/>
      <c r="M33" s="12"/>
      <c r="N33" s="12"/>
      <c r="O33" s="12"/>
    </row>
    <row r="34" spans="1:15" hidden="1" x14ac:dyDescent="0.25">
      <c r="A34" s="107"/>
      <c r="B34" s="2" t="s">
        <v>31</v>
      </c>
      <c r="C34" s="3">
        <v>300000000</v>
      </c>
      <c r="D34" s="3">
        <v>263400000</v>
      </c>
      <c r="E34" s="3">
        <f t="shared" si="0"/>
        <v>563400000</v>
      </c>
      <c r="F34" s="3"/>
      <c r="G34" s="4"/>
      <c r="H34" s="4"/>
      <c r="M34" s="12"/>
      <c r="N34" s="12"/>
      <c r="O34" s="12"/>
    </row>
    <row r="35" spans="1:15" hidden="1" x14ac:dyDescent="0.25">
      <c r="A35" s="107"/>
      <c r="B35" s="2" t="s">
        <v>35</v>
      </c>
      <c r="C35" s="3">
        <v>356200000</v>
      </c>
      <c r="D35" s="3">
        <v>365400000</v>
      </c>
      <c r="E35" s="3">
        <f t="shared" si="0"/>
        <v>721600000</v>
      </c>
      <c r="F35" s="3"/>
      <c r="G35" s="4"/>
      <c r="H35" s="4"/>
      <c r="M35" s="12"/>
      <c r="N35" s="12"/>
      <c r="O35" s="12"/>
    </row>
    <row r="36" spans="1:15" hidden="1" x14ac:dyDescent="0.25">
      <c r="A36" s="107"/>
      <c r="B36" s="2" t="s">
        <v>41</v>
      </c>
      <c r="C36" s="3">
        <v>404000000</v>
      </c>
      <c r="D36" s="3">
        <v>316200000</v>
      </c>
      <c r="E36" s="3">
        <f t="shared" si="0"/>
        <v>720200000</v>
      </c>
      <c r="F36" s="3"/>
      <c r="G36" s="4"/>
      <c r="H36" s="4"/>
      <c r="M36" s="12"/>
      <c r="N36" s="12"/>
      <c r="O36" s="12"/>
    </row>
    <row r="37" spans="1:15" hidden="1" x14ac:dyDescent="0.25">
      <c r="A37" s="107">
        <v>2006</v>
      </c>
      <c r="B37" s="2" t="s">
        <v>23</v>
      </c>
      <c r="C37" s="3">
        <v>265800000</v>
      </c>
      <c r="D37" s="3">
        <v>245000000</v>
      </c>
      <c r="E37" s="3">
        <f t="shared" si="0"/>
        <v>510800000</v>
      </c>
      <c r="F37" s="3"/>
      <c r="M37" s="12"/>
      <c r="N37" s="12"/>
      <c r="O37" s="12"/>
    </row>
    <row r="38" spans="1:15" hidden="1" x14ac:dyDescent="0.25">
      <c r="A38" s="107"/>
      <c r="B38" s="2" t="s">
        <v>24</v>
      </c>
      <c r="C38" s="3">
        <v>276400000</v>
      </c>
      <c r="D38" s="3">
        <v>318000000</v>
      </c>
      <c r="E38" s="3">
        <f t="shared" si="0"/>
        <v>594400000</v>
      </c>
      <c r="F38" s="3"/>
      <c r="G38" s="4"/>
      <c r="H38" s="4"/>
      <c r="M38" s="12"/>
      <c r="N38" s="12"/>
      <c r="O38" s="12"/>
    </row>
    <row r="39" spans="1:15" hidden="1" x14ac:dyDescent="0.25">
      <c r="A39" s="107"/>
      <c r="B39" s="2" t="s">
        <v>29</v>
      </c>
      <c r="C39" s="3">
        <v>294200000</v>
      </c>
      <c r="D39" s="3">
        <v>274800000</v>
      </c>
      <c r="E39" s="3">
        <f t="shared" si="0"/>
        <v>569000000</v>
      </c>
      <c r="F39" s="3"/>
      <c r="G39" s="4"/>
      <c r="H39" s="4"/>
      <c r="M39" s="12"/>
      <c r="N39" s="12"/>
      <c r="O39" s="12"/>
    </row>
    <row r="40" spans="1:15" hidden="1" x14ac:dyDescent="0.25">
      <c r="A40" s="107"/>
      <c r="B40" s="2" t="s">
        <v>32</v>
      </c>
      <c r="C40" s="3">
        <v>312800000</v>
      </c>
      <c r="D40" s="3">
        <v>277000000</v>
      </c>
      <c r="E40" s="3">
        <f t="shared" si="0"/>
        <v>589800000</v>
      </c>
      <c r="F40" s="3"/>
      <c r="G40" s="4"/>
      <c r="H40" s="4"/>
      <c r="M40" s="12"/>
      <c r="N40" s="12"/>
      <c r="O40" s="12"/>
    </row>
    <row r="41" spans="1:15" hidden="1" x14ac:dyDescent="0.25">
      <c r="A41" s="107"/>
      <c r="B41" s="2" t="s">
        <v>37</v>
      </c>
      <c r="C41" s="3">
        <v>359000000</v>
      </c>
      <c r="D41" s="3">
        <v>305800000</v>
      </c>
      <c r="E41" s="3">
        <f t="shared" si="0"/>
        <v>664800000</v>
      </c>
      <c r="F41" s="3"/>
      <c r="G41" s="4"/>
      <c r="H41" s="4"/>
      <c r="M41" s="12"/>
      <c r="N41" s="12"/>
      <c r="O41" s="12"/>
    </row>
    <row r="42" spans="1:15" hidden="1" x14ac:dyDescent="0.25">
      <c r="A42" s="107">
        <v>2007</v>
      </c>
      <c r="B42" s="2" t="s">
        <v>16</v>
      </c>
      <c r="C42" s="3">
        <v>253200000</v>
      </c>
      <c r="D42" s="3">
        <v>255000000</v>
      </c>
      <c r="E42" s="3">
        <f t="shared" si="0"/>
        <v>508200000</v>
      </c>
      <c r="F42" s="3"/>
      <c r="M42" s="12"/>
      <c r="N42" s="12"/>
      <c r="O42" s="12"/>
    </row>
    <row r="43" spans="1:15" hidden="1" x14ac:dyDescent="0.25">
      <c r="A43" s="107"/>
      <c r="B43" s="2" t="s">
        <v>18</v>
      </c>
      <c r="C43" s="3">
        <v>256240000</v>
      </c>
      <c r="D43" s="3">
        <v>257000000</v>
      </c>
      <c r="E43" s="3">
        <f t="shared" si="0"/>
        <v>513240000</v>
      </c>
      <c r="F43" s="3"/>
      <c r="G43" s="4"/>
      <c r="H43" s="4"/>
      <c r="M43" s="12"/>
      <c r="N43" s="12"/>
      <c r="O43" s="12"/>
    </row>
    <row r="44" spans="1:15" hidden="1" x14ac:dyDescent="0.25">
      <c r="A44" s="107"/>
      <c r="B44" s="2" t="s">
        <v>25</v>
      </c>
      <c r="C44" s="3">
        <v>280000000</v>
      </c>
      <c r="D44" s="3">
        <v>265200000</v>
      </c>
      <c r="E44" s="3">
        <f t="shared" si="0"/>
        <v>545200000</v>
      </c>
      <c r="F44" s="3"/>
      <c r="G44" s="4"/>
      <c r="H44" s="4"/>
      <c r="M44" s="12"/>
      <c r="N44" s="12"/>
      <c r="O44" s="12"/>
    </row>
    <row r="45" spans="1:15" hidden="1" x14ac:dyDescent="0.25">
      <c r="A45" s="107"/>
      <c r="B45" s="2" t="s">
        <v>27</v>
      </c>
      <c r="C45" s="3">
        <v>286800000</v>
      </c>
      <c r="D45" s="3">
        <v>294600000</v>
      </c>
      <c r="E45" s="3">
        <f t="shared" si="0"/>
        <v>581400000</v>
      </c>
      <c r="F45" s="3"/>
      <c r="G45" s="4"/>
      <c r="H45" s="4"/>
      <c r="M45" s="12"/>
      <c r="N45" s="12"/>
      <c r="O45" s="12"/>
    </row>
    <row r="46" spans="1:15" hidden="1" x14ac:dyDescent="0.25">
      <c r="A46" s="107"/>
      <c r="B46" s="2" t="s">
        <v>33</v>
      </c>
      <c r="C46" s="3">
        <v>320800000</v>
      </c>
      <c r="D46" s="3">
        <v>243600000</v>
      </c>
      <c r="E46" s="3">
        <f t="shared" si="0"/>
        <v>564400000</v>
      </c>
      <c r="F46" s="3"/>
      <c r="G46" s="4"/>
      <c r="H46" s="4"/>
      <c r="M46" s="12"/>
      <c r="N46" s="12"/>
      <c r="O46" s="12"/>
    </row>
    <row r="47" spans="1:15" hidden="1" x14ac:dyDescent="0.25">
      <c r="A47" s="107">
        <v>2008</v>
      </c>
      <c r="B47" s="2" t="s">
        <v>4</v>
      </c>
      <c r="C47" s="3">
        <v>194600000</v>
      </c>
      <c r="D47" s="3">
        <v>222000000</v>
      </c>
      <c r="E47" s="3">
        <f t="shared" si="0"/>
        <v>416600000</v>
      </c>
      <c r="F47" s="3"/>
      <c r="M47" s="12"/>
      <c r="N47" s="12"/>
      <c r="O47" s="12"/>
    </row>
    <row r="48" spans="1:15" hidden="1" x14ac:dyDescent="0.25">
      <c r="A48" s="107"/>
      <c r="B48" s="2" t="s">
        <v>13</v>
      </c>
      <c r="C48" s="3">
        <v>244400000</v>
      </c>
      <c r="D48" s="3">
        <v>244200000</v>
      </c>
      <c r="E48" s="3">
        <f t="shared" si="0"/>
        <v>488600000</v>
      </c>
      <c r="F48" s="3"/>
      <c r="G48" s="4"/>
      <c r="H48" s="4"/>
      <c r="M48" s="12"/>
      <c r="N48" s="12"/>
      <c r="O48" s="12"/>
    </row>
    <row r="49" spans="1:15" hidden="1" x14ac:dyDescent="0.25">
      <c r="A49" s="107"/>
      <c r="B49" s="2" t="s">
        <v>17</v>
      </c>
      <c r="C49" s="3">
        <v>254000000</v>
      </c>
      <c r="D49" s="3">
        <v>251800000</v>
      </c>
      <c r="E49" s="3">
        <f t="shared" si="0"/>
        <v>505800000</v>
      </c>
      <c r="F49" s="3"/>
      <c r="G49" s="4"/>
      <c r="H49" s="4"/>
      <c r="M49" s="12"/>
      <c r="N49" s="12"/>
      <c r="O49" s="12"/>
    </row>
    <row r="50" spans="1:15" hidden="1" x14ac:dyDescent="0.25">
      <c r="A50" s="107"/>
      <c r="B50" s="2" t="s">
        <v>21</v>
      </c>
      <c r="C50" s="3">
        <v>263600000</v>
      </c>
      <c r="D50" s="3">
        <v>254000000</v>
      </c>
      <c r="E50" s="3">
        <f t="shared" si="0"/>
        <v>517600000</v>
      </c>
      <c r="F50" s="3"/>
      <c r="G50" s="4"/>
      <c r="H50" s="4"/>
      <c r="M50" s="12"/>
      <c r="N50" s="12"/>
      <c r="O50" s="12"/>
    </row>
    <row r="51" spans="1:15" hidden="1" x14ac:dyDescent="0.25">
      <c r="A51" s="107"/>
      <c r="B51" s="2" t="s">
        <v>22</v>
      </c>
      <c r="C51" s="3">
        <v>265000000</v>
      </c>
      <c r="D51" s="3">
        <v>244600000</v>
      </c>
      <c r="E51" s="3">
        <f t="shared" si="0"/>
        <v>509600000</v>
      </c>
      <c r="F51" s="3"/>
      <c r="G51" s="4"/>
      <c r="H51" s="4"/>
      <c r="M51" s="12"/>
      <c r="N51" s="12"/>
      <c r="O51" s="12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12"/>
      <c r="O52" s="12"/>
    </row>
    <row r="53" spans="1:15" ht="15" customHeight="1" x14ac:dyDescent="0.25">
      <c r="A53" s="7"/>
      <c r="B53" s="183" t="s">
        <v>69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5"/>
      <c r="M53" s="9"/>
      <c r="N53" s="12"/>
      <c r="O53" s="12"/>
    </row>
    <row r="54" spans="1:15" ht="15.75" customHeight="1" thickBot="1" x14ac:dyDescent="0.3">
      <c r="A54" s="7"/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8"/>
      <c r="M54" s="9"/>
      <c r="N54" s="12"/>
      <c r="O54" s="12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12"/>
      <c r="O55" s="12"/>
    </row>
    <row r="56" spans="1:1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9"/>
      <c r="N56" s="12"/>
      <c r="O56" s="12"/>
    </row>
    <row r="57" spans="1:15" ht="22.5" x14ac:dyDescent="0.3">
      <c r="A57" s="7"/>
      <c r="B57" s="7"/>
      <c r="C57" s="7"/>
      <c r="D57" s="7"/>
      <c r="E57" s="7"/>
      <c r="F57" s="7"/>
      <c r="G57" s="7"/>
      <c r="H57" s="7"/>
      <c r="I57" s="7"/>
      <c r="J57" s="15" t="s">
        <v>57</v>
      </c>
      <c r="K57" s="16" t="s">
        <v>56</v>
      </c>
      <c r="L57" s="7"/>
      <c r="M57" s="9"/>
      <c r="N57" s="12"/>
      <c r="O57" s="12"/>
    </row>
    <row r="58" spans="1:15" x14ac:dyDescent="0.25">
      <c r="A58" s="7"/>
      <c r="B58" s="7"/>
      <c r="C58" s="7"/>
      <c r="D58" s="7"/>
      <c r="E58" s="7"/>
      <c r="F58" s="7"/>
      <c r="G58" s="7"/>
      <c r="H58" s="7"/>
      <c r="I58" s="7"/>
      <c r="J58" s="10">
        <v>1999</v>
      </c>
      <c r="K58" s="33">
        <v>4430940</v>
      </c>
      <c r="L58" s="7"/>
      <c r="M58" s="9"/>
      <c r="N58" s="12"/>
      <c r="O58" s="12"/>
    </row>
    <row r="59" spans="1:15" x14ac:dyDescent="0.25">
      <c r="A59" s="7"/>
      <c r="B59" s="7"/>
      <c r="C59" s="7"/>
      <c r="D59" s="7"/>
      <c r="E59" s="7"/>
      <c r="F59" s="7"/>
      <c r="G59" s="7"/>
      <c r="H59" s="7"/>
      <c r="I59" s="7"/>
      <c r="J59" s="10">
        <v>2000</v>
      </c>
      <c r="K59" s="33">
        <v>6470932</v>
      </c>
      <c r="L59" s="7"/>
      <c r="M59" s="9"/>
      <c r="N59" s="12"/>
      <c r="O59" s="12"/>
    </row>
    <row r="60" spans="1:15" x14ac:dyDescent="0.25">
      <c r="A60" s="7"/>
      <c r="B60" s="7"/>
      <c r="C60" s="7"/>
      <c r="D60" s="7"/>
      <c r="E60" s="7"/>
      <c r="F60" s="7"/>
      <c r="G60" s="7"/>
      <c r="H60" s="7"/>
      <c r="I60" s="7"/>
      <c r="J60" s="10">
        <v>2001</v>
      </c>
      <c r="K60" s="33">
        <v>4806984</v>
      </c>
      <c r="L60" s="7"/>
      <c r="M60" s="9"/>
      <c r="N60" s="12"/>
      <c r="O60" s="12"/>
    </row>
    <row r="61" spans="1:15" x14ac:dyDescent="0.25">
      <c r="A61" s="7"/>
      <c r="B61" s="7"/>
      <c r="C61" s="7"/>
      <c r="D61" s="7"/>
      <c r="E61" s="7"/>
      <c r="F61" s="7"/>
      <c r="G61" s="7"/>
      <c r="H61" s="7"/>
      <c r="I61" s="7"/>
      <c r="J61" s="10">
        <v>2002</v>
      </c>
      <c r="K61" s="33">
        <v>4313704</v>
      </c>
      <c r="L61" s="7"/>
      <c r="M61" s="9"/>
      <c r="N61" s="12"/>
      <c r="O61" s="12"/>
    </row>
    <row r="62" spans="1:15" x14ac:dyDescent="0.25">
      <c r="A62" s="7"/>
      <c r="B62" s="7"/>
      <c r="C62" s="7"/>
      <c r="D62" s="7"/>
      <c r="E62" s="7"/>
      <c r="F62" s="7"/>
      <c r="G62" s="7"/>
      <c r="H62" s="7"/>
      <c r="I62" s="7"/>
      <c r="J62" s="10">
        <v>2003</v>
      </c>
      <c r="K62" s="33">
        <v>2280400</v>
      </c>
      <c r="L62" s="7"/>
      <c r="M62" s="9"/>
      <c r="N62" s="12"/>
      <c r="O62" s="12"/>
    </row>
    <row r="63" spans="1:15" x14ac:dyDescent="0.25">
      <c r="A63" s="7"/>
      <c r="B63" s="7"/>
      <c r="C63" s="7"/>
      <c r="D63" s="7"/>
      <c r="E63" s="7"/>
      <c r="F63" s="7"/>
      <c r="G63" s="7"/>
      <c r="H63" s="7"/>
      <c r="I63" s="7"/>
      <c r="J63" s="10">
        <v>2004</v>
      </c>
      <c r="K63" s="33">
        <v>4401600</v>
      </c>
      <c r="L63" s="7"/>
      <c r="M63" s="9"/>
      <c r="N63" s="12"/>
      <c r="O63" s="12"/>
    </row>
    <row r="64" spans="1:15" x14ac:dyDescent="0.25">
      <c r="A64" s="7"/>
      <c r="B64" s="7"/>
      <c r="C64" s="7"/>
      <c r="D64" s="7"/>
      <c r="E64" s="7"/>
      <c r="F64" s="7"/>
      <c r="G64" s="7"/>
      <c r="H64" s="7"/>
      <c r="I64" s="7"/>
      <c r="J64" s="10">
        <v>2005</v>
      </c>
      <c r="K64" s="33">
        <v>3313600</v>
      </c>
      <c r="L64" s="7"/>
      <c r="M64" s="9"/>
      <c r="N64" s="12"/>
      <c r="O64" s="12"/>
    </row>
    <row r="65" spans="1:15" x14ac:dyDescent="0.25">
      <c r="A65" s="7"/>
      <c r="B65" s="7"/>
      <c r="C65" s="7"/>
      <c r="D65" s="7"/>
      <c r="E65" s="7"/>
      <c r="F65" s="7"/>
      <c r="G65" s="7"/>
      <c r="H65" s="7"/>
      <c r="I65" s="7"/>
      <c r="J65" s="10">
        <v>2006</v>
      </c>
      <c r="K65" s="33">
        <v>3128800</v>
      </c>
      <c r="L65" s="7"/>
      <c r="M65" s="9"/>
      <c r="N65" s="12"/>
      <c r="O65" s="12"/>
    </row>
    <row r="66" spans="1:15" x14ac:dyDescent="0.25">
      <c r="A66" s="7"/>
      <c r="B66" s="7"/>
      <c r="C66" s="7"/>
      <c r="D66" s="7"/>
      <c r="E66" s="7"/>
      <c r="F66" s="7"/>
      <c r="G66" s="7"/>
      <c r="H66" s="7"/>
      <c r="I66" s="7"/>
      <c r="J66" s="10">
        <v>2007</v>
      </c>
      <c r="K66" s="33">
        <v>2512440</v>
      </c>
      <c r="L66" s="7"/>
      <c r="M66" s="9"/>
      <c r="N66" s="12"/>
      <c r="O66" s="12"/>
    </row>
    <row r="67" spans="1:15" x14ac:dyDescent="0.25">
      <c r="A67" s="7"/>
      <c r="B67" s="7"/>
      <c r="C67" s="7"/>
      <c r="D67" s="7"/>
      <c r="E67" s="7"/>
      <c r="F67" s="7"/>
      <c r="G67" s="7"/>
      <c r="H67" s="7"/>
      <c r="I67" s="7"/>
      <c r="J67" s="11">
        <v>2008</v>
      </c>
      <c r="K67" s="33">
        <v>2438200</v>
      </c>
      <c r="L67" s="7"/>
      <c r="M67" s="9"/>
      <c r="N67" s="12"/>
      <c r="O67" s="12"/>
    </row>
    <row r="68" spans="1: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2"/>
      <c r="O68" s="12"/>
    </row>
    <row r="69" spans="1: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2"/>
      <c r="O69" s="12"/>
    </row>
    <row r="70" spans="1: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12"/>
      <c r="O70" s="12"/>
    </row>
    <row r="71" spans="1:1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12"/>
      <c r="O71" s="12"/>
    </row>
    <row r="72" spans="1:15" ht="15.75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9"/>
      <c r="N72" s="12"/>
      <c r="O72" s="12"/>
    </row>
    <row r="73" spans="1:15" x14ac:dyDescent="0.25">
      <c r="A73" s="93">
        <f>IF(E73=3,1,0)</f>
        <v>0</v>
      </c>
      <c r="B73" s="189" t="s">
        <v>152</v>
      </c>
      <c r="C73" s="190"/>
      <c r="D73" s="191"/>
      <c r="E73" s="174"/>
      <c r="F73" s="175"/>
      <c r="G73" s="175"/>
      <c r="H73" s="176"/>
      <c r="I73" s="13"/>
      <c r="J73" s="189" t="s">
        <v>76</v>
      </c>
      <c r="K73" s="190"/>
      <c r="L73" s="191"/>
      <c r="M73" s="9"/>
      <c r="N73" s="12"/>
      <c r="O73" s="12"/>
    </row>
    <row r="74" spans="1:15" x14ac:dyDescent="0.25">
      <c r="A74" s="93">
        <f>IF(E73="three",1,0)</f>
        <v>0</v>
      </c>
      <c r="B74" s="192"/>
      <c r="C74" s="193"/>
      <c r="D74" s="194"/>
      <c r="E74" s="177"/>
      <c r="F74" s="178"/>
      <c r="G74" s="178"/>
      <c r="H74" s="179"/>
      <c r="I74" s="13"/>
      <c r="J74" s="192"/>
      <c r="K74" s="193"/>
      <c r="L74" s="194"/>
      <c r="M74" s="9"/>
      <c r="N74" s="12"/>
      <c r="O74" s="12"/>
    </row>
    <row r="75" spans="1:15" x14ac:dyDescent="0.25">
      <c r="A75" s="93"/>
      <c r="B75" s="192"/>
      <c r="C75" s="193"/>
      <c r="D75" s="194"/>
      <c r="E75" s="177"/>
      <c r="F75" s="178"/>
      <c r="G75" s="178"/>
      <c r="H75" s="179"/>
      <c r="I75" s="13"/>
      <c r="J75" s="192"/>
      <c r="K75" s="193"/>
      <c r="L75" s="194"/>
      <c r="M75" s="9"/>
      <c r="N75" s="12"/>
      <c r="O75" s="12"/>
    </row>
    <row r="76" spans="1:15" ht="15.75" thickBot="1" x14ac:dyDescent="0.3">
      <c r="A76" s="93"/>
      <c r="B76" s="195"/>
      <c r="C76" s="196"/>
      <c r="D76" s="197"/>
      <c r="E76" s="180"/>
      <c r="F76" s="181"/>
      <c r="G76" s="181"/>
      <c r="H76" s="182"/>
      <c r="I76" s="13"/>
      <c r="J76" s="195"/>
      <c r="K76" s="196"/>
      <c r="L76" s="197"/>
      <c r="M76" s="9"/>
      <c r="N76" s="12"/>
      <c r="O76" s="12"/>
    </row>
    <row r="77" spans="1:15" ht="15.75" thickBot="1" x14ac:dyDescent="0.3">
      <c r="A77" s="93"/>
      <c r="B77" s="7"/>
      <c r="C77" s="7"/>
      <c r="D77" s="7"/>
      <c r="E77" s="7"/>
      <c r="F77" s="7"/>
      <c r="G77" s="7"/>
      <c r="H77" s="7"/>
      <c r="I77" s="7"/>
      <c r="J77" s="212"/>
      <c r="K77" s="213"/>
      <c r="L77" s="214"/>
      <c r="M77" s="9"/>
      <c r="N77" s="12"/>
      <c r="O77" s="12"/>
    </row>
    <row r="78" spans="1:15" ht="15" customHeight="1" x14ac:dyDescent="0.25">
      <c r="A78" s="93">
        <f>IF(E86="x",1,0)</f>
        <v>0</v>
      </c>
      <c r="B78" s="203" t="s">
        <v>67</v>
      </c>
      <c r="C78" s="204"/>
      <c r="D78" s="205"/>
      <c r="E78" s="198"/>
      <c r="F78" s="201">
        <v>1999</v>
      </c>
      <c r="G78" s="198"/>
      <c r="H78" s="201">
        <v>2004</v>
      </c>
      <c r="I78" s="7"/>
      <c r="J78" s="215"/>
      <c r="K78" s="216"/>
      <c r="L78" s="217"/>
      <c r="M78" s="9"/>
      <c r="N78" s="12"/>
      <c r="O78" s="12"/>
    </row>
    <row r="79" spans="1:15" ht="15" customHeight="1" thickBot="1" x14ac:dyDescent="0.3">
      <c r="A79" s="93"/>
      <c r="B79" s="206"/>
      <c r="C79" s="207"/>
      <c r="D79" s="208"/>
      <c r="E79" s="199"/>
      <c r="F79" s="202"/>
      <c r="G79" s="199"/>
      <c r="H79" s="202"/>
      <c r="I79" s="7"/>
      <c r="J79" s="215"/>
      <c r="K79" s="216"/>
      <c r="L79" s="217"/>
      <c r="M79" s="9"/>
      <c r="N79" s="12"/>
      <c r="O79" s="12"/>
    </row>
    <row r="80" spans="1:15" ht="15" customHeight="1" thickBot="1" x14ac:dyDescent="0.3">
      <c r="A80" s="93">
        <f>IF(G84="x",1,0)</f>
        <v>0</v>
      </c>
      <c r="B80" s="206"/>
      <c r="C80" s="207"/>
      <c r="D80" s="208"/>
      <c r="E80" s="198"/>
      <c r="F80" s="201">
        <v>2000</v>
      </c>
      <c r="G80" s="198"/>
      <c r="H80" s="201">
        <v>2005</v>
      </c>
      <c r="I80" s="7"/>
      <c r="J80" s="218"/>
      <c r="K80" s="219"/>
      <c r="L80" s="220"/>
      <c r="M80" s="9"/>
      <c r="N80" s="12"/>
      <c r="O80" s="12"/>
    </row>
    <row r="81" spans="1:15" ht="15" customHeight="1" thickBot="1" x14ac:dyDescent="0.3">
      <c r="A81" s="93">
        <f>IF(G86="x",1,0)</f>
        <v>0</v>
      </c>
      <c r="B81" s="206"/>
      <c r="C81" s="207"/>
      <c r="D81" s="208"/>
      <c r="E81" s="199"/>
      <c r="F81" s="202"/>
      <c r="G81" s="199"/>
      <c r="H81" s="202"/>
      <c r="I81" s="7"/>
      <c r="J81" s="7"/>
      <c r="K81" s="7"/>
      <c r="L81" s="7"/>
      <c r="M81" s="9"/>
      <c r="N81" s="12"/>
      <c r="O81" s="12"/>
    </row>
    <row r="82" spans="1:15" ht="15" customHeight="1" x14ac:dyDescent="0.25">
      <c r="A82" s="93">
        <f>IF(J77="legend",1,0)</f>
        <v>0</v>
      </c>
      <c r="B82" s="206"/>
      <c r="C82" s="207"/>
      <c r="D82" s="208"/>
      <c r="E82" s="198"/>
      <c r="F82" s="201">
        <v>2001</v>
      </c>
      <c r="G82" s="198"/>
      <c r="H82" s="201">
        <v>2006</v>
      </c>
      <c r="I82" s="7"/>
      <c r="J82" s="189" t="s">
        <v>59</v>
      </c>
      <c r="K82" s="190"/>
      <c r="L82" s="191"/>
      <c r="M82" s="9"/>
      <c r="N82" s="12"/>
      <c r="O82" s="12"/>
    </row>
    <row r="83" spans="1:15" ht="15.75" customHeight="1" thickBot="1" x14ac:dyDescent="0.3">
      <c r="A83" s="93">
        <f>IF(J85="line",1,0)</f>
        <v>0</v>
      </c>
      <c r="B83" s="206"/>
      <c r="C83" s="207"/>
      <c r="D83" s="208"/>
      <c r="E83" s="199"/>
      <c r="F83" s="202"/>
      <c r="G83" s="199"/>
      <c r="H83" s="202"/>
      <c r="I83" s="7"/>
      <c r="J83" s="192"/>
      <c r="K83" s="193"/>
      <c r="L83" s="194"/>
      <c r="M83" s="9"/>
      <c r="N83" s="12"/>
      <c r="O83" s="12"/>
    </row>
    <row r="84" spans="1:15" ht="15" customHeight="1" thickBot="1" x14ac:dyDescent="0.3">
      <c r="A84" s="93"/>
      <c r="B84" s="206"/>
      <c r="C84" s="207"/>
      <c r="D84" s="208"/>
      <c r="E84" s="198"/>
      <c r="F84" s="201">
        <v>2002</v>
      </c>
      <c r="G84" s="198"/>
      <c r="H84" s="201">
        <v>2007</v>
      </c>
      <c r="I84" s="7"/>
      <c r="J84" s="195"/>
      <c r="K84" s="196"/>
      <c r="L84" s="197"/>
      <c r="M84" s="9"/>
      <c r="N84" s="12"/>
      <c r="O84" s="12"/>
    </row>
    <row r="85" spans="1:15" ht="15.75" customHeight="1" thickBot="1" x14ac:dyDescent="0.3">
      <c r="A85" s="93"/>
      <c r="B85" s="206"/>
      <c r="C85" s="207"/>
      <c r="D85" s="208"/>
      <c r="E85" s="199"/>
      <c r="F85" s="202"/>
      <c r="G85" s="199"/>
      <c r="H85" s="202"/>
      <c r="I85" s="7"/>
      <c r="J85" s="221"/>
      <c r="K85" s="222"/>
      <c r="L85" s="223"/>
      <c r="M85" s="9"/>
      <c r="N85" s="12"/>
      <c r="O85" s="12"/>
    </row>
    <row r="86" spans="1:15" ht="15" customHeight="1" x14ac:dyDescent="0.25">
      <c r="A86" s="94"/>
      <c r="B86" s="206"/>
      <c r="C86" s="207"/>
      <c r="D86" s="208"/>
      <c r="E86" s="198"/>
      <c r="F86" s="201">
        <v>2003</v>
      </c>
      <c r="G86" s="198"/>
      <c r="H86" s="201">
        <v>2008</v>
      </c>
      <c r="I86" s="9"/>
      <c r="J86" s="224"/>
      <c r="K86" s="225"/>
      <c r="L86" s="226"/>
      <c r="M86" s="9"/>
      <c r="N86" s="12"/>
      <c r="O86" s="12"/>
    </row>
    <row r="87" spans="1:15" ht="15.75" customHeight="1" thickBot="1" x14ac:dyDescent="0.3">
      <c r="A87" s="94"/>
      <c r="B87" s="209"/>
      <c r="C87" s="210"/>
      <c r="D87" s="211"/>
      <c r="E87" s="199"/>
      <c r="F87" s="202"/>
      <c r="G87" s="199"/>
      <c r="H87" s="202"/>
      <c r="I87" s="9"/>
      <c r="J87" s="227"/>
      <c r="K87" s="228"/>
      <c r="L87" s="229"/>
      <c r="M87" s="9"/>
    </row>
    <row r="88" spans="1:15" x14ac:dyDescent="0.25">
      <c r="A88" s="94">
        <f>SUM(A73:A83)</f>
        <v>0</v>
      </c>
      <c r="B88" s="9"/>
      <c r="C88" s="9"/>
      <c r="D88" s="9"/>
      <c r="E88" s="200"/>
      <c r="F88" s="200"/>
      <c r="G88" s="200"/>
      <c r="H88" s="200"/>
      <c r="I88" s="9"/>
      <c r="J88" s="9"/>
      <c r="K88" s="9"/>
      <c r="L88" s="9"/>
      <c r="M88" s="9"/>
    </row>
    <row r="89" spans="1:15" x14ac:dyDescent="0.25">
      <c r="A89" s="94"/>
      <c r="B89" s="9"/>
      <c r="C89" s="9"/>
      <c r="D89" s="9"/>
      <c r="E89" s="200"/>
      <c r="F89" s="200"/>
      <c r="G89" s="200"/>
      <c r="H89" s="200"/>
      <c r="I89" s="9"/>
      <c r="J89" s="9"/>
      <c r="K89" s="9"/>
      <c r="L89" s="9"/>
      <c r="M89" s="9"/>
    </row>
    <row r="90" spans="1:15" x14ac:dyDescent="0.25">
      <c r="A90" s="9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</sheetData>
  <sheetProtection sheet="1" objects="1" scenarios="1" selectLockedCells="1"/>
  <mergeCells count="42">
    <mergeCell ref="G88:G89"/>
    <mergeCell ref="H88:H89"/>
    <mergeCell ref="B78:D87"/>
    <mergeCell ref="J73:L76"/>
    <mergeCell ref="J77:L80"/>
    <mergeCell ref="J82:L84"/>
    <mergeCell ref="J85:L87"/>
    <mergeCell ref="H78:H79"/>
    <mergeCell ref="H80:H81"/>
    <mergeCell ref="H82:H83"/>
    <mergeCell ref="H84:H85"/>
    <mergeCell ref="E86:E87"/>
    <mergeCell ref="E88:E89"/>
    <mergeCell ref="F86:F87"/>
    <mergeCell ref="G86:G87"/>
    <mergeCell ref="H86:H87"/>
    <mergeCell ref="F88:F89"/>
    <mergeCell ref="F78:F79"/>
    <mergeCell ref="F80:F81"/>
    <mergeCell ref="F82:F83"/>
    <mergeCell ref="F84:F85"/>
    <mergeCell ref="G78:G79"/>
    <mergeCell ref="G80:G81"/>
    <mergeCell ref="G82:G83"/>
    <mergeCell ref="G84:G85"/>
    <mergeCell ref="E78:E79"/>
    <mergeCell ref="E80:E81"/>
    <mergeCell ref="E82:E83"/>
    <mergeCell ref="E84:E85"/>
    <mergeCell ref="E73:H76"/>
    <mergeCell ref="B53:L54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B73:D76"/>
  </mergeCells>
  <conditionalFormatting sqref="E73:H76">
    <cfRule type="cellIs" dxfId="65" priority="5" operator="equal">
      <formula>"Three"</formula>
    </cfRule>
    <cfRule type="cellIs" dxfId="64" priority="6" operator="equal">
      <formula>3</formula>
    </cfRule>
  </conditionalFormatting>
  <conditionalFormatting sqref="E86:E87">
    <cfRule type="cellIs" dxfId="63" priority="4" operator="equal">
      <formula>"x"</formula>
    </cfRule>
  </conditionalFormatting>
  <conditionalFormatting sqref="G84:G87">
    <cfRule type="cellIs" dxfId="62" priority="3" operator="equal">
      <formula>"x"</formula>
    </cfRule>
  </conditionalFormatting>
  <conditionalFormatting sqref="J77:L80">
    <cfRule type="containsText" dxfId="61" priority="2" operator="containsText" text="Legend">
      <formula>NOT(ISERROR(SEARCH("Legend",J77)))</formula>
    </cfRule>
  </conditionalFormatting>
  <conditionalFormatting sqref="J85:L87">
    <cfRule type="containsText" dxfId="60" priority="1" operator="containsText" text="Line">
      <formula>NOT(ISERROR(SEARCH("Line",J85)))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4" zoomScale="90" zoomScaleNormal="90" workbookViewId="0">
      <selection activeCell="G9" sqref="G9:J11"/>
    </sheetView>
  </sheetViews>
  <sheetFormatPr defaultRowHeight="15" x14ac:dyDescent="0.25"/>
  <cols>
    <col min="1" max="1" width="14" customWidth="1"/>
    <col min="2" max="2" width="11.140625" bestFit="1" customWidth="1"/>
    <col min="3" max="3" width="14.85546875" bestFit="1" customWidth="1"/>
    <col min="4" max="4" width="12.7109375" bestFit="1" customWidth="1"/>
    <col min="6" max="6" width="8.7109375" customWidth="1"/>
    <col min="7" max="7" width="14" bestFit="1" customWidth="1"/>
    <col min="8" max="8" width="11.140625" bestFit="1" customWidth="1"/>
    <col min="9" max="9" width="14.85546875" bestFit="1" customWidth="1"/>
    <col min="10" max="10" width="12.7109375" bestFit="1" customWidth="1"/>
    <col min="18" max="18" width="21.140625" customWidth="1"/>
  </cols>
  <sheetData>
    <row r="1" spans="1:38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38" ht="15" customHeight="1" x14ac:dyDescent="0.25">
      <c r="A2" s="239" t="s">
        <v>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38" ht="1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38" ht="15" customHeight="1" thickBot="1" x14ac:dyDescent="0.3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</row>
    <row r="5" spans="1:38" x14ac:dyDescent="0.25">
      <c r="A5" s="7"/>
      <c r="B5" s="7"/>
      <c r="C5" s="7"/>
      <c r="D5" s="7"/>
      <c r="E5" s="7"/>
      <c r="F5" s="7"/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</row>
    <row r="6" spans="1:38" ht="15.75" thickBot="1" x14ac:dyDescent="0.3">
      <c r="A6" s="7"/>
      <c r="B6" s="7"/>
      <c r="C6" s="7"/>
      <c r="D6" s="7"/>
      <c r="E6" s="7"/>
      <c r="F6" s="7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</row>
    <row r="7" spans="1:38" ht="18.75" customHeight="1" x14ac:dyDescent="0.25">
      <c r="A7" s="7"/>
      <c r="B7" s="7"/>
      <c r="C7" s="7"/>
      <c r="D7" s="7"/>
      <c r="E7" s="7"/>
      <c r="F7" s="7"/>
      <c r="G7" s="257" t="s">
        <v>58</v>
      </c>
      <c r="H7" s="258"/>
      <c r="I7" s="258"/>
      <c r="J7" s="259"/>
      <c r="K7" s="7"/>
      <c r="L7" s="7"/>
      <c r="M7" s="7"/>
      <c r="N7" s="7"/>
      <c r="O7" s="7"/>
      <c r="P7" s="7"/>
      <c r="Q7" s="7"/>
      <c r="R7" s="7"/>
    </row>
    <row r="8" spans="1:38" ht="24.75" customHeight="1" thickBot="1" x14ac:dyDescent="0.3">
      <c r="A8" s="7"/>
      <c r="B8" s="7"/>
      <c r="C8" s="7"/>
      <c r="D8" s="7"/>
      <c r="E8" s="7"/>
      <c r="F8" s="7"/>
      <c r="G8" s="260"/>
      <c r="H8" s="261"/>
      <c r="I8" s="261"/>
      <c r="J8" s="262"/>
      <c r="K8" s="7"/>
      <c r="L8" s="7"/>
      <c r="M8" s="7"/>
      <c r="N8" s="7"/>
      <c r="O8" s="7"/>
      <c r="P8" s="7"/>
      <c r="Q8" s="7"/>
      <c r="R8" s="7"/>
    </row>
    <row r="9" spans="1:38" x14ac:dyDescent="0.25">
      <c r="A9" s="7"/>
      <c r="B9" s="7"/>
      <c r="C9" s="7"/>
      <c r="D9" s="7"/>
      <c r="E9" s="7"/>
      <c r="F9" s="93"/>
      <c r="G9" s="230"/>
      <c r="H9" s="231"/>
      <c r="I9" s="231"/>
      <c r="J9" s="232"/>
      <c r="K9" s="7"/>
      <c r="L9" s="7"/>
      <c r="M9" s="7"/>
      <c r="N9" s="7"/>
      <c r="O9" s="7"/>
      <c r="P9" s="7"/>
      <c r="Q9" s="7"/>
      <c r="R9" s="7"/>
    </row>
    <row r="10" spans="1:38" x14ac:dyDescent="0.25">
      <c r="A10" s="7"/>
      <c r="B10" s="7"/>
      <c r="C10" s="7"/>
      <c r="D10" s="7"/>
      <c r="E10" s="7"/>
      <c r="F10" s="93">
        <f>IF(G9="pie",1,0)</f>
        <v>0</v>
      </c>
      <c r="G10" s="233"/>
      <c r="H10" s="234"/>
      <c r="I10" s="234"/>
      <c r="J10" s="235"/>
      <c r="K10" s="7"/>
      <c r="L10" s="7"/>
      <c r="M10" s="7"/>
      <c r="N10" s="7"/>
      <c r="O10" s="7"/>
      <c r="P10" s="7"/>
      <c r="Q10" s="7"/>
      <c r="R10" s="7"/>
    </row>
    <row r="11" spans="1:38" ht="15" customHeight="1" thickBot="1" x14ac:dyDescent="0.3">
      <c r="A11" s="7"/>
      <c r="B11" s="7"/>
      <c r="C11" s="7"/>
      <c r="D11" s="7"/>
      <c r="E11" s="7"/>
      <c r="F11" s="93"/>
      <c r="G11" s="236"/>
      <c r="H11" s="237"/>
      <c r="I11" s="237"/>
      <c r="J11" s="238"/>
      <c r="K11" s="7"/>
      <c r="L11" s="7"/>
      <c r="M11" s="7"/>
      <c r="N11" s="7"/>
      <c r="O11" s="7"/>
      <c r="P11" s="7"/>
      <c r="Q11" s="7"/>
      <c r="R11" s="7"/>
    </row>
    <row r="12" spans="1:38" ht="22.5" customHeight="1" thickBot="1" x14ac:dyDescent="0.3">
      <c r="A12" s="7"/>
      <c r="B12" s="7"/>
      <c r="C12" s="7"/>
      <c r="D12" s="7"/>
      <c r="E12" s="7"/>
      <c r="F12" s="93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</row>
    <row r="13" spans="1:38" ht="15.75" x14ac:dyDescent="0.25">
      <c r="A13" s="7"/>
      <c r="B13" s="7"/>
      <c r="C13" s="7"/>
      <c r="D13" s="7"/>
      <c r="E13" s="7"/>
      <c r="F13" s="93"/>
      <c r="G13" s="248" t="s">
        <v>59</v>
      </c>
      <c r="H13" s="249"/>
      <c r="I13" s="249"/>
      <c r="J13" s="250"/>
      <c r="K13" s="7"/>
      <c r="L13" s="7"/>
      <c r="M13" s="7"/>
      <c r="N13" s="7"/>
      <c r="O13" s="7"/>
      <c r="P13" s="7"/>
      <c r="Q13" s="7"/>
      <c r="R13" s="7"/>
      <c r="AI13" s="8" t="s">
        <v>1</v>
      </c>
      <c r="AJ13" s="8" t="s">
        <v>2</v>
      </c>
      <c r="AK13" s="8" t="s">
        <v>3</v>
      </c>
      <c r="AL13" s="8" t="s">
        <v>54</v>
      </c>
    </row>
    <row r="14" spans="1:38" x14ac:dyDescent="0.25">
      <c r="A14" s="7"/>
      <c r="B14" s="7"/>
      <c r="C14" s="7"/>
      <c r="D14" s="7"/>
      <c r="E14" s="7"/>
      <c r="F14" s="93"/>
      <c r="G14" s="251"/>
      <c r="H14" s="252"/>
      <c r="I14" s="252"/>
      <c r="J14" s="253"/>
      <c r="K14" s="7"/>
      <c r="L14" s="7"/>
      <c r="M14" s="7"/>
      <c r="N14" s="7"/>
      <c r="O14" s="7"/>
      <c r="P14" s="7"/>
      <c r="Q14" s="7"/>
      <c r="R14" s="7"/>
      <c r="AI14" s="5" t="s">
        <v>38</v>
      </c>
      <c r="AJ14" s="6">
        <v>170564</v>
      </c>
      <c r="AK14" s="6">
        <v>153000</v>
      </c>
      <c r="AL14" s="6">
        <f t="shared" ref="AL14:AL18" si="0">SUM(AJ14:AK14)</f>
        <v>323564</v>
      </c>
    </row>
    <row r="15" spans="1:38" x14ac:dyDescent="0.25">
      <c r="A15" s="7"/>
      <c r="B15" s="7"/>
      <c r="C15" s="7"/>
      <c r="D15" s="7"/>
      <c r="E15" s="7"/>
      <c r="F15" s="93"/>
      <c r="G15" s="251"/>
      <c r="H15" s="252"/>
      <c r="I15" s="252"/>
      <c r="J15" s="253"/>
      <c r="K15" s="7"/>
      <c r="L15" s="7"/>
      <c r="M15" s="7"/>
      <c r="N15" s="7"/>
      <c r="O15" s="7"/>
      <c r="P15" s="7"/>
      <c r="Q15" s="7"/>
      <c r="R15" s="7"/>
      <c r="AI15" s="5" t="s">
        <v>43</v>
      </c>
      <c r="AJ15" s="6">
        <v>227876</v>
      </c>
      <c r="AK15" s="6">
        <v>427600</v>
      </c>
      <c r="AL15" s="6">
        <f t="shared" si="0"/>
        <v>655476</v>
      </c>
    </row>
    <row r="16" spans="1:38" ht="15.75" thickBot="1" x14ac:dyDescent="0.3">
      <c r="A16" s="7"/>
      <c r="B16" s="7"/>
      <c r="C16" s="7"/>
      <c r="D16" s="7"/>
      <c r="E16" s="7"/>
      <c r="F16" s="93"/>
      <c r="G16" s="254"/>
      <c r="H16" s="255"/>
      <c r="I16" s="255"/>
      <c r="J16" s="256"/>
      <c r="K16" s="7"/>
      <c r="L16" s="7"/>
      <c r="M16" s="7"/>
      <c r="N16" s="7"/>
      <c r="O16" s="7"/>
      <c r="P16" s="7"/>
      <c r="Q16" s="7"/>
      <c r="R16" s="7"/>
      <c r="AI16" s="5" t="s">
        <v>44</v>
      </c>
      <c r="AJ16" s="6">
        <v>247100</v>
      </c>
      <c r="AK16" s="6">
        <v>223000</v>
      </c>
      <c r="AL16" s="6">
        <f t="shared" si="0"/>
        <v>470100</v>
      </c>
    </row>
    <row r="17" spans="1:38" ht="15" customHeight="1" x14ac:dyDescent="0.25">
      <c r="A17" s="7"/>
      <c r="B17" s="7"/>
      <c r="C17" s="7"/>
      <c r="D17" s="7"/>
      <c r="E17" s="7"/>
      <c r="F17" s="93">
        <f>IF(G17="line",1,0)</f>
        <v>0</v>
      </c>
      <c r="G17" s="230"/>
      <c r="H17" s="231"/>
      <c r="I17" s="231"/>
      <c r="J17" s="232"/>
      <c r="K17" s="7"/>
      <c r="L17" s="7"/>
      <c r="M17" s="7"/>
      <c r="N17" s="7"/>
      <c r="O17" s="7"/>
      <c r="P17" s="7"/>
      <c r="Q17" s="7"/>
      <c r="R17" s="7"/>
      <c r="AI17" s="5" t="s">
        <v>45</v>
      </c>
      <c r="AJ17" s="6">
        <v>259404</v>
      </c>
      <c r="AK17" s="6">
        <v>223400</v>
      </c>
      <c r="AL17" s="6">
        <f t="shared" si="0"/>
        <v>482804</v>
      </c>
    </row>
    <row r="18" spans="1:38" x14ac:dyDescent="0.25">
      <c r="A18" s="7"/>
      <c r="B18" s="7"/>
      <c r="C18" s="7"/>
      <c r="D18" s="7"/>
      <c r="E18" s="7"/>
      <c r="F18" s="93"/>
      <c r="G18" s="233"/>
      <c r="H18" s="234"/>
      <c r="I18" s="234"/>
      <c r="J18" s="235"/>
      <c r="K18" s="7"/>
      <c r="L18" s="7"/>
      <c r="M18" s="7"/>
      <c r="N18" s="7"/>
      <c r="O18" s="7"/>
      <c r="P18" s="7"/>
      <c r="Q18" s="7"/>
      <c r="R18" s="7"/>
      <c r="AI18" s="5" t="s">
        <v>51</v>
      </c>
      <c r="AJ18" s="6">
        <v>419640</v>
      </c>
      <c r="AK18" s="6">
        <v>355400</v>
      </c>
      <c r="AL18" s="6">
        <f t="shared" si="0"/>
        <v>775040</v>
      </c>
    </row>
    <row r="19" spans="1:38" ht="15.75" thickBot="1" x14ac:dyDescent="0.3">
      <c r="A19" s="7"/>
      <c r="B19" s="7"/>
      <c r="C19" s="7"/>
      <c r="D19" s="7"/>
      <c r="E19" s="7"/>
      <c r="F19" s="93"/>
      <c r="G19" s="236"/>
      <c r="H19" s="237"/>
      <c r="I19" s="237"/>
      <c r="J19" s="238"/>
      <c r="K19" s="7"/>
      <c r="L19" s="7"/>
      <c r="M19" s="7"/>
      <c r="N19" s="7"/>
      <c r="O19" s="7"/>
      <c r="P19" s="7"/>
      <c r="Q19" s="7"/>
      <c r="R19" s="7"/>
    </row>
    <row r="20" spans="1:38" ht="15.75" thickBot="1" x14ac:dyDescent="0.3">
      <c r="A20" s="7"/>
      <c r="B20" s="7"/>
      <c r="C20" s="7"/>
      <c r="D20" s="7"/>
      <c r="E20" s="7"/>
      <c r="F20" s="93"/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</row>
    <row r="21" spans="1:38" x14ac:dyDescent="0.25">
      <c r="A21" s="7"/>
      <c r="B21" s="7"/>
      <c r="C21" s="7"/>
      <c r="D21" s="7"/>
      <c r="E21" s="7"/>
      <c r="F21" s="93"/>
      <c r="G21" s="248" t="s">
        <v>68</v>
      </c>
      <c r="H21" s="249"/>
      <c r="I21" s="249"/>
      <c r="J21" s="250"/>
      <c r="K21" s="7"/>
      <c r="L21" s="7"/>
      <c r="M21" s="7"/>
      <c r="N21" s="7"/>
      <c r="O21" s="7"/>
      <c r="P21" s="7"/>
      <c r="Q21" s="7"/>
      <c r="R21" s="7"/>
    </row>
    <row r="22" spans="1:38" x14ac:dyDescent="0.25">
      <c r="A22" s="7"/>
      <c r="B22" s="7"/>
      <c r="C22" s="7"/>
      <c r="D22" s="7"/>
      <c r="E22" s="7"/>
      <c r="F22" s="93"/>
      <c r="G22" s="251"/>
      <c r="H22" s="252"/>
      <c r="I22" s="252"/>
      <c r="J22" s="253"/>
      <c r="K22" s="7"/>
      <c r="L22" s="7"/>
      <c r="M22" s="7"/>
      <c r="N22" s="7"/>
      <c r="O22" s="7"/>
      <c r="P22" s="7"/>
      <c r="Q22" s="7"/>
      <c r="R22" s="7"/>
    </row>
    <row r="23" spans="1:38" ht="15.75" thickBot="1" x14ac:dyDescent="0.3">
      <c r="A23" s="7"/>
      <c r="B23" s="7"/>
      <c r="C23" s="7"/>
      <c r="D23" s="7"/>
      <c r="E23" s="7"/>
      <c r="F23" s="93"/>
      <c r="G23" s="254"/>
      <c r="H23" s="255"/>
      <c r="I23" s="255"/>
      <c r="J23" s="256"/>
      <c r="K23" s="7"/>
      <c r="L23" s="7"/>
      <c r="M23" s="7"/>
      <c r="N23" s="7"/>
      <c r="O23" s="7"/>
      <c r="P23" s="7"/>
      <c r="Q23" s="7"/>
      <c r="R23" s="7"/>
    </row>
    <row r="24" spans="1:38" x14ac:dyDescent="0.25">
      <c r="A24" s="7"/>
      <c r="B24" s="7"/>
      <c r="C24" s="7"/>
      <c r="D24" s="7"/>
      <c r="E24" s="7"/>
      <c r="F24" s="93">
        <f>IF(G24="kentucky",1,0)</f>
        <v>0</v>
      </c>
      <c r="G24" s="230"/>
      <c r="H24" s="231"/>
      <c r="I24" s="231"/>
      <c r="J24" s="232"/>
      <c r="K24" s="7"/>
      <c r="L24" s="7"/>
      <c r="M24" s="7"/>
      <c r="N24" s="7"/>
      <c r="O24" s="7"/>
      <c r="P24" s="7"/>
      <c r="Q24" s="7"/>
      <c r="R24" s="7"/>
    </row>
    <row r="25" spans="1:38" x14ac:dyDescent="0.25">
      <c r="A25" s="7"/>
      <c r="B25" s="7"/>
      <c r="C25" s="7"/>
      <c r="D25" s="7"/>
      <c r="E25" s="7"/>
      <c r="F25" s="93"/>
      <c r="G25" s="233"/>
      <c r="H25" s="234"/>
      <c r="I25" s="234"/>
      <c r="J25" s="235"/>
      <c r="K25" s="7"/>
      <c r="L25" s="7"/>
      <c r="M25" s="7"/>
      <c r="N25" s="7"/>
      <c r="O25" s="7"/>
      <c r="P25" s="7"/>
      <c r="Q25" s="7"/>
      <c r="R25" s="7"/>
    </row>
    <row r="26" spans="1:38" ht="15.75" thickBot="1" x14ac:dyDescent="0.3">
      <c r="A26" s="7"/>
      <c r="B26" s="7"/>
      <c r="C26" s="7"/>
      <c r="D26" s="7"/>
      <c r="E26" s="7"/>
      <c r="F26" s="93"/>
      <c r="G26" s="236"/>
      <c r="H26" s="237"/>
      <c r="I26" s="237"/>
      <c r="J26" s="238"/>
      <c r="K26" s="7"/>
      <c r="L26" s="7"/>
      <c r="M26" s="7"/>
      <c r="N26" s="7"/>
      <c r="O26" s="7"/>
      <c r="P26" s="7"/>
      <c r="Q26" s="7"/>
      <c r="R26" s="7"/>
    </row>
    <row r="27" spans="1:38" ht="15.75" thickBot="1" x14ac:dyDescent="0.3">
      <c r="A27" s="7"/>
      <c r="B27" s="7"/>
      <c r="C27" s="7"/>
      <c r="D27" s="7"/>
      <c r="E27" s="7"/>
      <c r="F27" s="93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</row>
    <row r="28" spans="1:38" ht="15" customHeight="1" x14ac:dyDescent="0.25">
      <c r="A28" s="7"/>
      <c r="B28" s="7"/>
      <c r="C28" s="7"/>
      <c r="D28" s="7"/>
      <c r="E28" s="7"/>
      <c r="F28" s="93"/>
      <c r="G28" s="248" t="s">
        <v>169</v>
      </c>
      <c r="H28" s="249"/>
      <c r="I28" s="249"/>
      <c r="J28" s="250"/>
      <c r="K28" s="7"/>
      <c r="L28" s="7"/>
      <c r="M28" s="7"/>
      <c r="N28" s="7"/>
      <c r="O28" s="7"/>
      <c r="P28" s="7"/>
      <c r="Q28" s="7"/>
      <c r="R28" s="7"/>
    </row>
    <row r="29" spans="1:38" x14ac:dyDescent="0.25">
      <c r="A29" s="7"/>
      <c r="B29" s="7"/>
      <c r="C29" s="7"/>
      <c r="D29" s="7"/>
      <c r="E29" s="7"/>
      <c r="F29" s="93"/>
      <c r="G29" s="251"/>
      <c r="H29" s="252"/>
      <c r="I29" s="252"/>
      <c r="J29" s="253"/>
      <c r="K29" s="7"/>
      <c r="L29" s="7"/>
      <c r="M29" s="7"/>
      <c r="N29" s="7"/>
      <c r="O29" s="7"/>
      <c r="P29" s="7"/>
      <c r="Q29" s="7"/>
      <c r="R29" s="7"/>
    </row>
    <row r="30" spans="1:38" ht="34.9" customHeight="1" thickBot="1" x14ac:dyDescent="0.3">
      <c r="A30" s="7"/>
      <c r="B30" s="7"/>
      <c r="C30" s="7"/>
      <c r="D30" s="7"/>
      <c r="E30" s="7"/>
      <c r="F30" s="93"/>
      <c r="G30" s="254"/>
      <c r="H30" s="255"/>
      <c r="I30" s="255"/>
      <c r="J30" s="256"/>
      <c r="K30" s="7"/>
      <c r="L30" s="7"/>
      <c r="M30" s="7"/>
      <c r="N30" s="7"/>
      <c r="O30" s="7"/>
      <c r="P30" s="7"/>
      <c r="Q30" s="7"/>
      <c r="R30" s="7"/>
    </row>
    <row r="31" spans="1:38" ht="18.75" customHeight="1" x14ac:dyDescent="0.25">
      <c r="A31" s="7"/>
      <c r="B31" s="7"/>
      <c r="C31" s="7"/>
      <c r="D31" s="7"/>
      <c r="E31" s="7"/>
      <c r="F31" s="93">
        <f>IF(G31="pie",1,0)</f>
        <v>0</v>
      </c>
      <c r="G31" s="230"/>
      <c r="H31" s="231"/>
      <c r="I31" s="231"/>
      <c r="J31" s="232"/>
      <c r="K31" s="7"/>
      <c r="L31" s="7"/>
      <c r="M31" s="7"/>
      <c r="N31" s="7"/>
      <c r="O31" s="7"/>
      <c r="P31" s="7"/>
      <c r="Q31" s="7"/>
      <c r="R31" s="7"/>
    </row>
    <row r="32" spans="1:38" ht="15" customHeight="1" x14ac:dyDescent="0.25">
      <c r="A32" s="7"/>
      <c r="B32" s="7"/>
      <c r="C32" s="7"/>
      <c r="D32" s="7"/>
      <c r="E32" s="7"/>
      <c r="F32" s="93"/>
      <c r="G32" s="233"/>
      <c r="H32" s="234"/>
      <c r="I32" s="234"/>
      <c r="J32" s="235"/>
      <c r="K32" s="7"/>
      <c r="L32" s="7"/>
      <c r="M32" s="7"/>
      <c r="N32" s="7"/>
      <c r="O32" s="7"/>
      <c r="P32" s="7"/>
      <c r="Q32" s="7"/>
      <c r="R32" s="7"/>
    </row>
    <row r="33" spans="1:18" ht="15.75" customHeight="1" thickBot="1" x14ac:dyDescent="0.3">
      <c r="A33" s="7"/>
      <c r="B33" s="7"/>
      <c r="C33" s="7"/>
      <c r="D33" s="7"/>
      <c r="E33" s="7"/>
      <c r="F33" s="93"/>
      <c r="G33" s="236"/>
      <c r="H33" s="237"/>
      <c r="I33" s="237"/>
      <c r="J33" s="238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93">
        <f>SUM(F10:F31)</f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9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9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9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9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</sheetData>
  <sheetProtection sheet="1" objects="1" scenarios="1" selectLockedCells="1"/>
  <mergeCells count="9">
    <mergeCell ref="G31:J33"/>
    <mergeCell ref="A2:R4"/>
    <mergeCell ref="G21:J23"/>
    <mergeCell ref="G7:J8"/>
    <mergeCell ref="G9:J11"/>
    <mergeCell ref="G17:J19"/>
    <mergeCell ref="G24:J26"/>
    <mergeCell ref="G28:J30"/>
    <mergeCell ref="G13:J16"/>
  </mergeCells>
  <conditionalFormatting sqref="G9:J11">
    <cfRule type="cellIs" dxfId="52" priority="4" operator="equal">
      <formula>"pie"</formula>
    </cfRule>
  </conditionalFormatting>
  <conditionalFormatting sqref="G17:J19">
    <cfRule type="cellIs" dxfId="51" priority="3" operator="equal">
      <formula>"line"</formula>
    </cfRule>
  </conditionalFormatting>
  <conditionalFormatting sqref="G24:J26">
    <cfRule type="cellIs" dxfId="50" priority="2" operator="equal">
      <formula>"Kentucky"</formula>
    </cfRule>
  </conditionalFormatting>
  <conditionalFormatting sqref="G31:J33">
    <cfRule type="cellIs" dxfId="49" priority="1" operator="equal">
      <formula>"pie"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="80" zoomScaleNormal="80" workbookViewId="0">
      <selection activeCell="D22" sqref="D22:D24"/>
    </sheetView>
  </sheetViews>
  <sheetFormatPr defaultRowHeight="15" x14ac:dyDescent="0.25"/>
  <cols>
    <col min="3" max="3" width="11.28515625" bestFit="1" customWidth="1"/>
    <col min="4" max="4" width="21.5703125" bestFit="1" customWidth="1"/>
    <col min="5" max="5" width="24" customWidth="1"/>
    <col min="6" max="6" width="20.140625" customWidth="1"/>
    <col min="7" max="7" width="26.42578125" customWidth="1"/>
    <col min="8" max="8" width="24.5703125" customWidth="1"/>
    <col min="9" max="9" width="3.7109375" customWidth="1"/>
    <col min="15" max="15" width="13" customWidth="1"/>
  </cols>
  <sheetData>
    <row r="1" spans="1:15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5.25" customHeight="1" thickTop="1" thickBot="1" x14ac:dyDescent="0.3">
      <c r="A2" s="14"/>
      <c r="B2" s="267" t="s">
        <v>101</v>
      </c>
      <c r="C2" s="268"/>
      <c r="D2" s="268"/>
      <c r="E2" s="268"/>
      <c r="F2" s="268"/>
      <c r="G2" s="268"/>
      <c r="H2" s="269"/>
      <c r="I2" s="14"/>
      <c r="J2" s="270" t="s">
        <v>102</v>
      </c>
      <c r="K2" s="271"/>
      <c r="L2" s="271"/>
      <c r="M2" s="272"/>
      <c r="N2" s="14"/>
      <c r="O2" s="14"/>
    </row>
    <row r="3" spans="1:15" ht="15.75" thickTop="1" x14ac:dyDescent="0.25">
      <c r="A3" s="14"/>
      <c r="B3" s="14"/>
      <c r="C3" s="14"/>
      <c r="D3" s="14"/>
      <c r="E3" s="14"/>
      <c r="F3" s="14"/>
      <c r="G3" s="14"/>
      <c r="H3" s="14"/>
      <c r="I3" s="14"/>
      <c r="J3" s="273"/>
      <c r="K3" s="274"/>
      <c r="L3" s="274"/>
      <c r="M3" s="275"/>
      <c r="N3" s="14"/>
      <c r="O3" s="14"/>
    </row>
    <row r="4" spans="1:15" ht="33.75" thickBot="1" x14ac:dyDescent="0.5">
      <c r="A4" s="14"/>
      <c r="B4" s="287" t="s">
        <v>100</v>
      </c>
      <c r="C4" s="288"/>
      <c r="D4" s="288"/>
      <c r="E4" s="288"/>
      <c r="F4" s="288"/>
      <c r="G4" s="288"/>
      <c r="H4" s="289"/>
      <c r="I4" s="14"/>
      <c r="J4" s="276"/>
      <c r="K4" s="277"/>
      <c r="L4" s="277"/>
      <c r="M4" s="278"/>
      <c r="N4" s="14"/>
      <c r="O4" s="14"/>
    </row>
    <row r="5" spans="1:15" ht="18.75" customHeight="1" x14ac:dyDescent="0.25">
      <c r="A5" s="14"/>
      <c r="B5" s="55" t="s">
        <v>57</v>
      </c>
      <c r="C5" s="55" t="s">
        <v>99</v>
      </c>
      <c r="D5" s="55" t="s">
        <v>98</v>
      </c>
      <c r="E5" s="55" t="s">
        <v>97</v>
      </c>
      <c r="F5" s="55" t="s">
        <v>96</v>
      </c>
      <c r="G5" s="55" t="s">
        <v>95</v>
      </c>
      <c r="H5" s="55" t="s">
        <v>94</v>
      </c>
      <c r="I5" s="14"/>
      <c r="J5" s="279" t="s">
        <v>104</v>
      </c>
      <c r="K5" s="264"/>
      <c r="L5" s="264"/>
      <c r="M5" s="280"/>
      <c r="N5" s="14"/>
      <c r="O5" s="14"/>
    </row>
    <row r="6" spans="1:15" ht="15" customHeight="1" x14ac:dyDescent="0.25">
      <c r="A6" s="14"/>
      <c r="B6" s="53" t="s">
        <v>93</v>
      </c>
      <c r="C6" s="53" t="s">
        <v>80</v>
      </c>
      <c r="D6" s="53">
        <v>534</v>
      </c>
      <c r="E6" s="53">
        <v>481</v>
      </c>
      <c r="F6" s="53">
        <v>196</v>
      </c>
      <c r="G6" s="53">
        <v>69</v>
      </c>
      <c r="H6" s="54">
        <v>2313</v>
      </c>
      <c r="I6" s="14"/>
      <c r="J6" s="279"/>
      <c r="K6" s="264"/>
      <c r="L6" s="264"/>
      <c r="M6" s="280"/>
      <c r="N6" s="14"/>
      <c r="O6" s="14"/>
    </row>
    <row r="7" spans="1:15" ht="15" customHeight="1" x14ac:dyDescent="0.25">
      <c r="A7" s="14"/>
      <c r="B7" s="53" t="s">
        <v>92</v>
      </c>
      <c r="C7" s="53" t="s">
        <v>80</v>
      </c>
      <c r="D7" s="53">
        <v>64</v>
      </c>
      <c r="E7" s="53">
        <v>53</v>
      </c>
      <c r="F7" s="53">
        <v>37</v>
      </c>
      <c r="G7" s="53">
        <v>21</v>
      </c>
      <c r="H7" s="53">
        <v>408</v>
      </c>
      <c r="I7" s="14"/>
      <c r="J7" s="279"/>
      <c r="K7" s="264"/>
      <c r="L7" s="264"/>
      <c r="M7" s="280"/>
      <c r="N7" s="14"/>
      <c r="O7" s="14"/>
    </row>
    <row r="8" spans="1:15" ht="15" customHeight="1" x14ac:dyDescent="0.25">
      <c r="A8" s="14"/>
      <c r="B8" s="53" t="s">
        <v>91</v>
      </c>
      <c r="C8" s="53" t="s">
        <v>80</v>
      </c>
      <c r="D8" s="53">
        <v>430</v>
      </c>
      <c r="E8" s="53">
        <v>377</v>
      </c>
      <c r="F8" s="53">
        <v>236</v>
      </c>
      <c r="G8" s="53">
        <v>125</v>
      </c>
      <c r="H8" s="54">
        <v>3041</v>
      </c>
      <c r="I8" s="14"/>
      <c r="J8" s="279"/>
      <c r="K8" s="264"/>
      <c r="L8" s="264"/>
      <c r="M8" s="280"/>
      <c r="N8" s="14"/>
      <c r="O8" s="14"/>
    </row>
    <row r="9" spans="1:15" ht="15" customHeight="1" x14ac:dyDescent="0.25">
      <c r="A9" s="14"/>
      <c r="B9" s="53" t="s">
        <v>90</v>
      </c>
      <c r="C9" s="53" t="s">
        <v>80</v>
      </c>
      <c r="D9" s="53">
        <v>449</v>
      </c>
      <c r="E9" s="53">
        <v>485</v>
      </c>
      <c r="F9" s="53">
        <v>259</v>
      </c>
      <c r="G9" s="53">
        <v>131</v>
      </c>
      <c r="H9" s="54">
        <v>2868</v>
      </c>
      <c r="I9" s="14"/>
      <c r="J9" s="279"/>
      <c r="K9" s="264"/>
      <c r="L9" s="264"/>
      <c r="M9" s="280"/>
      <c r="N9" s="14"/>
      <c r="O9" s="14"/>
    </row>
    <row r="10" spans="1:15" ht="15" customHeight="1" x14ac:dyDescent="0.25">
      <c r="A10" s="14"/>
      <c r="B10" s="53" t="s">
        <v>89</v>
      </c>
      <c r="C10" s="53" t="s">
        <v>80</v>
      </c>
      <c r="D10" s="53">
        <v>652</v>
      </c>
      <c r="E10" s="53">
        <v>650</v>
      </c>
      <c r="F10" s="53">
        <v>234</v>
      </c>
      <c r="G10" s="53">
        <v>65</v>
      </c>
      <c r="H10" s="54">
        <v>2633</v>
      </c>
      <c r="I10" s="14"/>
      <c r="J10" s="279"/>
      <c r="K10" s="264"/>
      <c r="L10" s="264"/>
      <c r="M10" s="280"/>
      <c r="N10" s="14"/>
      <c r="O10" s="14"/>
    </row>
    <row r="11" spans="1:15" ht="15" customHeight="1" x14ac:dyDescent="0.25">
      <c r="A11" s="14"/>
      <c r="B11" s="53" t="s">
        <v>88</v>
      </c>
      <c r="C11" s="53" t="s">
        <v>80</v>
      </c>
      <c r="D11" s="53">
        <v>565</v>
      </c>
      <c r="E11" s="53">
        <v>519</v>
      </c>
      <c r="F11" s="53">
        <v>227</v>
      </c>
      <c r="G11" s="53">
        <v>54</v>
      </c>
      <c r="H11" s="54">
        <v>2753</v>
      </c>
      <c r="I11" s="14"/>
      <c r="J11" s="279"/>
      <c r="K11" s="264"/>
      <c r="L11" s="264"/>
      <c r="M11" s="280"/>
      <c r="N11" s="14"/>
      <c r="O11" s="14"/>
    </row>
    <row r="12" spans="1:15" ht="15" customHeight="1" x14ac:dyDescent="0.25">
      <c r="A12" s="14"/>
      <c r="B12" s="53" t="s">
        <v>87</v>
      </c>
      <c r="C12" s="53" t="s">
        <v>80</v>
      </c>
      <c r="D12" s="53">
        <v>492</v>
      </c>
      <c r="E12" s="53">
        <v>453</v>
      </c>
      <c r="F12" s="53">
        <v>223</v>
      </c>
      <c r="G12" s="53">
        <v>83</v>
      </c>
      <c r="H12" s="54">
        <v>2580</v>
      </c>
      <c r="I12" s="14"/>
      <c r="J12" s="279"/>
      <c r="K12" s="264"/>
      <c r="L12" s="264"/>
      <c r="M12" s="280"/>
      <c r="N12" s="56"/>
      <c r="O12" s="14"/>
    </row>
    <row r="13" spans="1:15" ht="15" customHeight="1" x14ac:dyDescent="0.25">
      <c r="A13" s="14"/>
      <c r="B13" s="53" t="s">
        <v>86</v>
      </c>
      <c r="C13" s="53" t="s">
        <v>80</v>
      </c>
      <c r="D13" s="53">
        <v>511</v>
      </c>
      <c r="E13" s="53">
        <v>489</v>
      </c>
      <c r="F13" s="53">
        <v>182</v>
      </c>
      <c r="G13" s="53">
        <v>75</v>
      </c>
      <c r="H13" s="54">
        <v>2404</v>
      </c>
      <c r="I13" s="14"/>
      <c r="J13" s="279"/>
      <c r="K13" s="264"/>
      <c r="L13" s="264"/>
      <c r="M13" s="280"/>
      <c r="N13" s="14"/>
      <c r="O13" s="14"/>
    </row>
    <row r="14" spans="1:15" ht="15" customHeight="1" x14ac:dyDescent="0.25">
      <c r="A14" s="14"/>
      <c r="B14" s="53" t="s">
        <v>85</v>
      </c>
      <c r="C14" s="53" t="s">
        <v>80</v>
      </c>
      <c r="D14" s="53">
        <v>522</v>
      </c>
      <c r="E14" s="53">
        <v>428</v>
      </c>
      <c r="F14" s="53">
        <v>221</v>
      </c>
      <c r="G14" s="53">
        <v>61</v>
      </c>
      <c r="H14" s="54">
        <v>2541</v>
      </c>
      <c r="I14" s="14"/>
      <c r="J14" s="279"/>
      <c r="K14" s="264"/>
      <c r="L14" s="264"/>
      <c r="M14" s="280"/>
      <c r="N14" s="14"/>
      <c r="O14" s="14"/>
    </row>
    <row r="15" spans="1:15" ht="15.75" customHeight="1" x14ac:dyDescent="0.25">
      <c r="A15" s="14"/>
      <c r="B15" s="53" t="s">
        <v>84</v>
      </c>
      <c r="C15" s="53" t="s">
        <v>80</v>
      </c>
      <c r="D15" s="53">
        <v>117</v>
      </c>
      <c r="E15" s="53">
        <v>90</v>
      </c>
      <c r="F15" s="53">
        <v>30</v>
      </c>
      <c r="G15" s="53">
        <v>13</v>
      </c>
      <c r="H15" s="53">
        <v>457</v>
      </c>
      <c r="I15" s="14"/>
      <c r="J15" s="279"/>
      <c r="K15" s="264"/>
      <c r="L15" s="264"/>
      <c r="M15" s="280"/>
      <c r="N15" s="14"/>
      <c r="O15" s="14"/>
    </row>
    <row r="16" spans="1:15" x14ac:dyDescent="0.25">
      <c r="A16" s="14"/>
      <c r="B16" s="53" t="s">
        <v>83</v>
      </c>
      <c r="C16" s="53" t="s">
        <v>80</v>
      </c>
      <c r="D16" s="53">
        <v>543</v>
      </c>
      <c r="E16" s="53">
        <v>352</v>
      </c>
      <c r="F16" s="53">
        <v>180</v>
      </c>
      <c r="G16" s="53">
        <v>42</v>
      </c>
      <c r="H16" s="54">
        <v>2491</v>
      </c>
      <c r="I16" s="14"/>
      <c r="J16" s="279"/>
      <c r="K16" s="264"/>
      <c r="L16" s="264"/>
      <c r="M16" s="280"/>
      <c r="N16" s="14"/>
      <c r="O16" s="14"/>
    </row>
    <row r="17" spans="1:15" x14ac:dyDescent="0.25">
      <c r="A17" s="14"/>
      <c r="B17" s="53" t="s">
        <v>82</v>
      </c>
      <c r="C17" s="53" t="s">
        <v>80</v>
      </c>
      <c r="D17" s="53">
        <v>482</v>
      </c>
      <c r="E17" s="53">
        <v>352</v>
      </c>
      <c r="F17" s="53">
        <v>140</v>
      </c>
      <c r="G17" s="53">
        <v>44</v>
      </c>
      <c r="H17" s="54">
        <v>2431</v>
      </c>
      <c r="I17" s="14"/>
      <c r="J17" s="279"/>
      <c r="K17" s="264"/>
      <c r="L17" s="264"/>
      <c r="M17" s="280"/>
      <c r="N17" s="14"/>
      <c r="O17" s="14"/>
    </row>
    <row r="18" spans="1:15" x14ac:dyDescent="0.25">
      <c r="A18" s="14"/>
      <c r="B18" s="53" t="s">
        <v>81</v>
      </c>
      <c r="C18" s="53" t="s">
        <v>80</v>
      </c>
      <c r="D18" s="53">
        <v>475</v>
      </c>
      <c r="E18" s="53">
        <v>283</v>
      </c>
      <c r="F18" s="53">
        <v>141</v>
      </c>
      <c r="G18" s="53">
        <v>45</v>
      </c>
      <c r="H18" s="54">
        <v>2357</v>
      </c>
      <c r="I18" s="14"/>
      <c r="J18" s="279"/>
      <c r="K18" s="264"/>
      <c r="L18" s="264"/>
      <c r="M18" s="280"/>
      <c r="N18" s="14"/>
      <c r="O18" s="14"/>
    </row>
    <row r="19" spans="1:15" ht="15.75" thickBot="1" x14ac:dyDescent="0.3">
      <c r="A19" s="14"/>
      <c r="B19" s="53" t="s">
        <v>79</v>
      </c>
      <c r="C19" s="53" t="s">
        <v>77</v>
      </c>
      <c r="D19" s="53">
        <v>339</v>
      </c>
      <c r="E19" s="53">
        <v>310</v>
      </c>
      <c r="F19" s="53">
        <v>85</v>
      </c>
      <c r="G19" s="53">
        <v>26</v>
      </c>
      <c r="H19" s="54">
        <v>1375</v>
      </c>
      <c r="I19" s="14"/>
      <c r="J19" s="281"/>
      <c r="K19" s="282"/>
      <c r="L19" s="282"/>
      <c r="M19" s="283"/>
      <c r="N19" s="14"/>
      <c r="O19" s="14"/>
    </row>
    <row r="20" spans="1:15" ht="16.5" thickTop="1" thickBot="1" x14ac:dyDescent="0.3">
      <c r="A20" s="14"/>
      <c r="B20" s="53" t="s">
        <v>78</v>
      </c>
      <c r="C20" s="53" t="s">
        <v>77</v>
      </c>
      <c r="D20" s="53">
        <v>497</v>
      </c>
      <c r="E20" s="53">
        <v>311</v>
      </c>
      <c r="F20" s="53">
        <v>123</v>
      </c>
      <c r="G20" s="53">
        <v>39</v>
      </c>
      <c r="H20" s="54">
        <v>1640</v>
      </c>
      <c r="I20" s="14"/>
      <c r="J20" s="14"/>
      <c r="K20" s="14"/>
      <c r="L20" s="14"/>
      <c r="M20" s="14"/>
      <c r="N20" s="14"/>
      <c r="O20" s="14"/>
    </row>
    <row r="21" spans="1:15" ht="24" thickBot="1" x14ac:dyDescent="0.3">
      <c r="A21" s="14"/>
      <c r="B21" s="58" t="s">
        <v>164</v>
      </c>
      <c r="C21" s="59"/>
      <c r="D21" s="49">
        <f>MIN(Table4[Total Rebounds])</f>
        <v>64</v>
      </c>
      <c r="E21" s="48">
        <f>AVERAGE(Table4[Assists])</f>
        <v>375.53333333333336</v>
      </c>
      <c r="F21" s="47">
        <f>MAX(Table4[Steals])</f>
        <v>259</v>
      </c>
      <c r="G21" s="47">
        <f>COUNT(Table4[Blocks])</f>
        <v>15</v>
      </c>
      <c r="H21" s="46">
        <f>SUBTOTAL(109,Table4[Points])</f>
        <v>32292</v>
      </c>
      <c r="I21" s="14"/>
      <c r="J21" s="14"/>
      <c r="K21" s="14"/>
      <c r="L21" s="14"/>
      <c r="M21" s="14"/>
      <c r="N21" s="14"/>
      <c r="O21" s="14"/>
    </row>
    <row r="22" spans="1:15" ht="16.5" customHeight="1" thickTop="1" x14ac:dyDescent="0.25">
      <c r="A22" s="14"/>
      <c r="B22" s="263" t="s">
        <v>103</v>
      </c>
      <c r="C22" s="264"/>
      <c r="D22" s="290"/>
      <c r="E22" s="290"/>
      <c r="F22" s="290"/>
      <c r="G22" s="293"/>
      <c r="H22" s="296"/>
      <c r="I22" s="14"/>
      <c r="J22" s="14"/>
      <c r="K22" s="14"/>
      <c r="L22" s="14"/>
      <c r="M22" s="14"/>
      <c r="N22" s="14"/>
      <c r="O22" s="14"/>
    </row>
    <row r="23" spans="1:15" ht="16.5" customHeight="1" x14ac:dyDescent="0.25">
      <c r="A23" s="14"/>
      <c r="B23" s="263"/>
      <c r="C23" s="264"/>
      <c r="D23" s="291"/>
      <c r="E23" s="291"/>
      <c r="F23" s="291"/>
      <c r="G23" s="294"/>
      <c r="H23" s="297"/>
      <c r="I23" s="14"/>
      <c r="J23" s="14"/>
      <c r="K23" s="14"/>
      <c r="L23" s="14"/>
      <c r="M23" s="14"/>
      <c r="N23" s="14"/>
      <c r="O23" s="14"/>
    </row>
    <row r="24" spans="1:15" ht="62.25" customHeight="1" thickBot="1" x14ac:dyDescent="0.3">
      <c r="A24" s="14"/>
      <c r="B24" s="265"/>
      <c r="C24" s="266"/>
      <c r="D24" s="292"/>
      <c r="E24" s="292"/>
      <c r="F24" s="292"/>
      <c r="G24" s="295"/>
      <c r="H24" s="298"/>
      <c r="I24" s="14"/>
      <c r="J24" s="14"/>
      <c r="K24" s="14"/>
      <c r="L24" s="14"/>
      <c r="M24" s="14"/>
      <c r="N24" s="14"/>
      <c r="O24" s="14"/>
    </row>
    <row r="25" spans="1:15" ht="16.5" customHeight="1" x14ac:dyDescent="0.25">
      <c r="A25" s="14"/>
      <c r="B25" s="34"/>
      <c r="C25" s="95">
        <f>SUM(D25:H25)</f>
        <v>0</v>
      </c>
      <c r="D25" s="96">
        <f>IF(D22="min",1,0)</f>
        <v>0</v>
      </c>
      <c r="E25" s="96">
        <f>IF(E22="average",1,0)</f>
        <v>0</v>
      </c>
      <c r="F25" s="96">
        <f>IF(F22="max",1,0)</f>
        <v>0</v>
      </c>
      <c r="G25" s="96">
        <f>IF(G22="count",1,0)</f>
        <v>0</v>
      </c>
      <c r="H25" s="96">
        <f>IF(H22="sum",1,0)</f>
        <v>0</v>
      </c>
      <c r="I25" s="97"/>
      <c r="J25" s="14"/>
      <c r="K25" s="14"/>
      <c r="L25" s="14"/>
      <c r="M25" s="14"/>
      <c r="N25" s="14"/>
      <c r="O25" s="14"/>
    </row>
    <row r="26" spans="1:15" x14ac:dyDescent="0.25">
      <c r="A26" s="14"/>
      <c r="B26" s="34"/>
      <c r="C26" s="34"/>
      <c r="D26" s="57"/>
      <c r="E26" s="57"/>
      <c r="F26" s="57"/>
      <c r="G26" s="57"/>
      <c r="H26" s="57"/>
      <c r="I26" s="14"/>
      <c r="J26" s="14"/>
      <c r="K26" s="14"/>
      <c r="L26" s="14"/>
      <c r="M26" s="14"/>
      <c r="N26" s="14"/>
      <c r="O26" s="14"/>
    </row>
    <row r="27" spans="1:15" x14ac:dyDescent="0.25">
      <c r="A27" s="14"/>
      <c r="B27" s="34"/>
      <c r="C27" s="34"/>
      <c r="D27" s="57"/>
      <c r="E27" s="57"/>
      <c r="F27" s="57"/>
      <c r="G27" s="57"/>
      <c r="H27" s="57"/>
      <c r="I27" s="14"/>
      <c r="J27" s="14"/>
      <c r="K27" s="14"/>
      <c r="L27" s="14"/>
      <c r="M27" s="14"/>
      <c r="N27" s="14"/>
      <c r="O27" s="14"/>
    </row>
    <row r="28" spans="1:15" ht="18" customHeight="1" x14ac:dyDescent="0.25">
      <c r="A28" s="14"/>
      <c r="B28" s="34"/>
      <c r="C28" s="34"/>
      <c r="D28" s="57"/>
      <c r="E28" s="57"/>
      <c r="F28" s="57"/>
      <c r="G28" s="57"/>
      <c r="H28" s="57"/>
      <c r="I28" s="14"/>
      <c r="J28" s="14"/>
      <c r="K28" s="14"/>
      <c r="L28" s="14"/>
      <c r="M28" s="14"/>
      <c r="N28" s="14"/>
      <c r="O28" s="14"/>
    </row>
    <row r="29" spans="1:15" ht="15" customHeight="1" x14ac:dyDescent="0.25">
      <c r="A29" s="14"/>
      <c r="B29" s="34"/>
      <c r="C29" s="34"/>
      <c r="D29" s="57"/>
      <c r="E29" s="57"/>
      <c r="F29" s="57"/>
      <c r="G29" s="57"/>
      <c r="H29" s="57"/>
      <c r="I29" s="14"/>
      <c r="J29" s="50"/>
      <c r="K29" s="50"/>
      <c r="L29" s="50"/>
      <c r="M29" s="50"/>
      <c r="N29" s="14"/>
      <c r="O29" s="14"/>
    </row>
    <row r="30" spans="1:15" ht="15" customHeight="1" x14ac:dyDescent="0.25">
      <c r="A30" s="14"/>
      <c r="B30" s="34"/>
      <c r="C30" s="34"/>
      <c r="D30" s="57"/>
      <c r="E30" s="57"/>
      <c r="F30" s="57"/>
      <c r="G30" s="57"/>
      <c r="H30" s="57"/>
      <c r="I30" s="14"/>
      <c r="J30" s="50"/>
      <c r="K30" s="50"/>
      <c r="L30" s="50"/>
      <c r="M30" s="50"/>
      <c r="N30" s="14"/>
      <c r="O30" s="14"/>
    </row>
    <row r="31" spans="1:15" ht="15" customHeight="1" x14ac:dyDescent="0.25">
      <c r="A31" s="14"/>
      <c r="B31" s="34"/>
      <c r="C31" s="34"/>
      <c r="D31" s="57"/>
      <c r="E31" s="57"/>
      <c r="F31" s="57"/>
      <c r="G31" s="57"/>
      <c r="H31" s="57"/>
      <c r="I31" s="14"/>
      <c r="J31" s="50"/>
      <c r="K31" s="50"/>
      <c r="L31" s="50"/>
      <c r="M31" s="50"/>
      <c r="N31" s="14"/>
      <c r="O31" s="14"/>
    </row>
    <row r="32" spans="1:15" ht="15" customHeight="1" x14ac:dyDescent="0.25">
      <c r="A32" s="14"/>
      <c r="B32" s="51"/>
      <c r="C32" s="51"/>
      <c r="D32" s="51"/>
      <c r="E32" s="51"/>
      <c r="F32" s="51"/>
      <c r="G32" s="51"/>
      <c r="H32" s="52"/>
      <c r="I32" s="14"/>
      <c r="J32" s="50"/>
      <c r="K32" s="50"/>
      <c r="L32" s="50"/>
      <c r="M32" s="50"/>
      <c r="N32" s="14"/>
      <c r="O32" s="14"/>
    </row>
    <row r="33" spans="1:15" ht="15" customHeight="1" x14ac:dyDescent="0.25">
      <c r="A33" s="14"/>
      <c r="B33" s="51"/>
      <c r="C33" s="51"/>
      <c r="D33" s="51"/>
      <c r="E33" s="51"/>
      <c r="F33" s="51"/>
      <c r="G33" s="51"/>
      <c r="H33" s="52"/>
      <c r="I33" s="14"/>
      <c r="J33" s="50"/>
      <c r="K33" s="50"/>
      <c r="L33" s="50"/>
      <c r="M33" s="50"/>
      <c r="N33" s="14"/>
      <c r="O33" s="14"/>
    </row>
    <row r="34" spans="1:15" ht="15" customHeight="1" x14ac:dyDescent="0.25">
      <c r="A34" s="14"/>
      <c r="B34" s="51"/>
      <c r="C34" s="51"/>
      <c r="D34" s="51"/>
      <c r="E34" s="51"/>
      <c r="F34" s="51"/>
      <c r="G34" s="51"/>
      <c r="H34" s="52"/>
      <c r="I34" s="14"/>
      <c r="J34" s="50"/>
      <c r="K34" s="50"/>
      <c r="L34" s="50"/>
      <c r="M34" s="50"/>
      <c r="N34" s="14"/>
      <c r="O34" s="14"/>
    </row>
    <row r="35" spans="1:15" ht="15" customHeight="1" x14ac:dyDescent="0.25">
      <c r="A35" s="14"/>
      <c r="B35" s="51"/>
      <c r="C35" s="51"/>
      <c r="D35" s="51"/>
      <c r="E35" s="51"/>
      <c r="F35" s="51"/>
      <c r="G35" s="51"/>
      <c r="H35" s="52"/>
      <c r="I35" s="14"/>
      <c r="J35" s="50"/>
      <c r="K35" s="50"/>
      <c r="L35" s="50"/>
      <c r="M35" s="50"/>
      <c r="N35" s="14"/>
      <c r="O35" s="14"/>
    </row>
    <row r="36" spans="1:15" ht="15" customHeight="1" x14ac:dyDescent="0.25">
      <c r="A36" s="14"/>
      <c r="B36" s="51"/>
      <c r="C36" s="51"/>
      <c r="D36" s="51"/>
      <c r="E36" s="51"/>
      <c r="F36" s="51"/>
      <c r="G36" s="51"/>
      <c r="H36" s="52"/>
      <c r="I36" s="14"/>
      <c r="J36" s="50"/>
      <c r="K36" s="50"/>
      <c r="L36" s="50"/>
      <c r="M36" s="50"/>
      <c r="N36" s="14"/>
      <c r="O36" s="14"/>
    </row>
    <row r="37" spans="1:15" ht="15" customHeight="1" x14ac:dyDescent="0.25">
      <c r="A37" s="14"/>
      <c r="B37" s="51"/>
      <c r="C37" s="51"/>
      <c r="D37" s="51"/>
      <c r="E37" s="51"/>
      <c r="F37" s="51"/>
      <c r="G37" s="51"/>
      <c r="H37" s="52"/>
      <c r="I37" s="14"/>
      <c r="J37" s="50"/>
      <c r="K37" s="50"/>
      <c r="L37" s="50"/>
      <c r="M37" s="50"/>
      <c r="N37" s="14"/>
      <c r="O37" s="14"/>
    </row>
    <row r="38" spans="1:15" ht="15" customHeight="1" x14ac:dyDescent="0.25">
      <c r="A38" s="14"/>
      <c r="B38" s="51"/>
      <c r="C38" s="51"/>
      <c r="D38" s="51"/>
      <c r="E38" s="51"/>
      <c r="F38" s="51"/>
      <c r="G38" s="51"/>
      <c r="H38" s="52"/>
      <c r="I38" s="14"/>
      <c r="J38" s="50"/>
      <c r="K38" s="50"/>
      <c r="L38" s="50"/>
      <c r="M38" s="50"/>
      <c r="N38" s="14"/>
      <c r="O38" s="14"/>
    </row>
    <row r="39" spans="1:15" ht="15" customHeight="1" x14ac:dyDescent="0.25">
      <c r="A39" s="14"/>
      <c r="B39" s="51"/>
      <c r="C39" s="51"/>
      <c r="D39" s="51"/>
      <c r="E39" s="51"/>
      <c r="F39" s="51"/>
      <c r="G39" s="51"/>
      <c r="H39" s="51"/>
      <c r="I39" s="14"/>
      <c r="J39" s="50"/>
      <c r="K39" s="50"/>
      <c r="L39" s="50"/>
      <c r="M39" s="50"/>
      <c r="N39" s="14"/>
      <c r="O39" s="14"/>
    </row>
    <row r="40" spans="1:15" x14ac:dyDescent="0.25">
      <c r="B40" s="44"/>
      <c r="C40" s="44"/>
      <c r="D40" s="44"/>
      <c r="E40" s="44"/>
      <c r="F40" s="44"/>
      <c r="G40" s="44"/>
      <c r="H40" s="45"/>
    </row>
    <row r="41" spans="1:15" x14ac:dyDescent="0.25">
      <c r="B41" s="44"/>
      <c r="C41" s="44"/>
      <c r="D41" s="44"/>
      <c r="E41" s="44"/>
      <c r="F41" s="44"/>
      <c r="G41" s="44"/>
      <c r="H41" s="45"/>
    </row>
    <row r="42" spans="1:15" x14ac:dyDescent="0.25">
      <c r="B42" s="44"/>
      <c r="C42" s="44"/>
      <c r="D42" s="44"/>
      <c r="E42" s="44"/>
      <c r="F42" s="44"/>
      <c r="G42" s="44"/>
      <c r="H42" s="45"/>
    </row>
    <row r="43" spans="1:15" x14ac:dyDescent="0.25">
      <c r="B43" s="44"/>
      <c r="C43" s="44"/>
      <c r="D43" s="44"/>
      <c r="E43" s="44"/>
      <c r="F43" s="44"/>
      <c r="G43" s="44"/>
      <c r="H43" s="45"/>
    </row>
    <row r="44" spans="1:15" ht="15.75" thickBot="1" x14ac:dyDescent="0.3">
      <c r="B44" s="44"/>
      <c r="C44" s="44"/>
      <c r="D44" s="44"/>
      <c r="E44" s="44"/>
      <c r="F44" s="44"/>
      <c r="G44" s="44"/>
      <c r="H44" s="45"/>
    </row>
    <row r="45" spans="1:15" ht="24.75" thickTop="1" thickBot="1" x14ac:dyDescent="0.3">
      <c r="B45" s="44"/>
      <c r="C45" s="44"/>
      <c r="D45" s="42"/>
      <c r="E45" s="43"/>
      <c r="F45" s="42"/>
      <c r="G45" s="42"/>
      <c r="H45" s="41"/>
    </row>
    <row r="46" spans="1:15" ht="16.5" thickTop="1" thickBot="1" x14ac:dyDescent="0.3">
      <c r="B46" s="285"/>
      <c r="C46" s="286"/>
      <c r="D46" s="284"/>
      <c r="E46" s="284"/>
      <c r="F46" s="284"/>
      <c r="G46" s="284"/>
      <c r="H46" s="284"/>
    </row>
    <row r="47" spans="1:15" ht="16.5" thickTop="1" thickBot="1" x14ac:dyDescent="0.3">
      <c r="B47" s="285"/>
      <c r="C47" s="286"/>
      <c r="D47" s="284"/>
      <c r="E47" s="284"/>
      <c r="F47" s="284"/>
      <c r="G47" s="284"/>
      <c r="H47" s="284"/>
    </row>
    <row r="48" spans="1:15" ht="16.5" thickTop="1" thickBot="1" x14ac:dyDescent="0.3">
      <c r="B48" s="285"/>
      <c r="C48" s="286"/>
      <c r="D48" s="284"/>
      <c r="E48" s="284"/>
      <c r="F48" s="284"/>
      <c r="G48" s="284"/>
      <c r="H48" s="284"/>
    </row>
    <row r="49" ht="15.75" thickTop="1" x14ac:dyDescent="0.25"/>
  </sheetData>
  <sheetProtection sheet="1" objects="1" scenarios="1" selectLockedCells="1"/>
  <mergeCells count="16">
    <mergeCell ref="B22:C24"/>
    <mergeCell ref="B2:H2"/>
    <mergeCell ref="J2:M4"/>
    <mergeCell ref="J5:M19"/>
    <mergeCell ref="D46:D48"/>
    <mergeCell ref="E46:E48"/>
    <mergeCell ref="F46:F48"/>
    <mergeCell ref="G46:G48"/>
    <mergeCell ref="H46:H48"/>
    <mergeCell ref="B46:C48"/>
    <mergeCell ref="B4:H4"/>
    <mergeCell ref="D22:D24"/>
    <mergeCell ref="E22:E24"/>
    <mergeCell ref="F22:F24"/>
    <mergeCell ref="G22:G24"/>
    <mergeCell ref="H22:H24"/>
  </mergeCells>
  <conditionalFormatting sqref="D22:D24">
    <cfRule type="cellIs" dxfId="48" priority="5" operator="equal">
      <formula>"MIN"</formula>
    </cfRule>
  </conditionalFormatting>
  <conditionalFormatting sqref="E22:E24">
    <cfRule type="cellIs" dxfId="47" priority="4" operator="equal">
      <formula>"AVERAGE"</formula>
    </cfRule>
  </conditionalFormatting>
  <conditionalFormatting sqref="F22:F24">
    <cfRule type="cellIs" dxfId="46" priority="3" operator="equal">
      <formula>"MAX"</formula>
    </cfRule>
  </conditionalFormatting>
  <conditionalFormatting sqref="G22:G24">
    <cfRule type="cellIs" dxfId="45" priority="2" operator="equal">
      <formula>"COUNT"</formula>
    </cfRule>
  </conditionalFormatting>
  <conditionalFormatting sqref="H22:H24">
    <cfRule type="cellIs" dxfId="44" priority="1" operator="equal">
      <formula>"SUM"</formula>
    </cfRule>
  </conditionalFormatting>
  <pageMargins left="0.7" right="0.7" top="0.75" bottom="0.75" header="0.3" footer="0.3"/>
  <pageSetup scale="7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I16" sqref="I16:L17"/>
    </sheetView>
  </sheetViews>
  <sheetFormatPr defaultRowHeight="15" x14ac:dyDescent="0.25"/>
  <cols>
    <col min="3" max="3" width="12.28515625" bestFit="1" customWidth="1"/>
    <col min="4" max="4" width="14" bestFit="1" customWidth="1"/>
    <col min="5" max="5" width="16.28515625" bestFit="1" customWidth="1"/>
    <col min="6" max="6" width="19" bestFit="1" customWidth="1"/>
    <col min="7" max="7" width="11" customWidth="1"/>
    <col min="8" max="8" width="17.28515625" bestFit="1" customWidth="1"/>
    <col min="14" max="14" width="34.28515625" customWidth="1"/>
  </cols>
  <sheetData>
    <row r="1" spans="1:1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thickTop="1" x14ac:dyDescent="0.25">
      <c r="A3" s="14"/>
      <c r="B3" s="14"/>
      <c r="C3" s="310" t="s">
        <v>116</v>
      </c>
      <c r="D3" s="311"/>
      <c r="E3" s="311"/>
      <c r="F3" s="311"/>
      <c r="G3" s="311"/>
      <c r="H3" s="312"/>
      <c r="I3" s="14"/>
      <c r="J3" s="14"/>
      <c r="K3" s="14"/>
      <c r="L3" s="14"/>
      <c r="M3" s="14"/>
      <c r="N3" s="14"/>
    </row>
    <row r="4" spans="1:14" x14ac:dyDescent="0.25">
      <c r="A4" s="14"/>
      <c r="B4" s="14"/>
      <c r="C4" s="313"/>
      <c r="D4" s="314"/>
      <c r="E4" s="314"/>
      <c r="F4" s="314"/>
      <c r="G4" s="314"/>
      <c r="H4" s="315"/>
      <c r="I4" s="14"/>
      <c r="J4" s="14"/>
      <c r="K4" s="14"/>
      <c r="L4" s="14"/>
      <c r="M4" s="14"/>
      <c r="N4" s="14"/>
    </row>
    <row r="5" spans="1:14" ht="23.25" x14ac:dyDescent="0.25">
      <c r="A5" s="14"/>
      <c r="B5" s="14"/>
      <c r="C5" s="61" t="s">
        <v>57</v>
      </c>
      <c r="D5" s="61" t="s">
        <v>120</v>
      </c>
      <c r="E5" s="61" t="s">
        <v>105</v>
      </c>
      <c r="F5" s="61" t="s">
        <v>106</v>
      </c>
      <c r="G5" s="61" t="s">
        <v>107</v>
      </c>
      <c r="H5" s="61" t="s">
        <v>108</v>
      </c>
      <c r="I5" s="14"/>
      <c r="J5" s="14"/>
      <c r="K5" s="14"/>
      <c r="L5" s="14"/>
      <c r="M5" s="14"/>
      <c r="N5" s="14"/>
    </row>
    <row r="6" spans="1:14" ht="19.5" thickBot="1" x14ac:dyDescent="0.3">
      <c r="A6" s="14"/>
      <c r="B6" s="14"/>
      <c r="C6" s="63">
        <v>2012</v>
      </c>
      <c r="D6" s="63">
        <v>10</v>
      </c>
      <c r="E6" s="63">
        <v>5</v>
      </c>
      <c r="F6" s="63">
        <v>8</v>
      </c>
      <c r="G6" s="63">
        <v>2</v>
      </c>
      <c r="H6" s="63">
        <v>4</v>
      </c>
      <c r="I6" s="14"/>
      <c r="J6" s="14"/>
      <c r="K6" s="14"/>
      <c r="L6" s="14"/>
      <c r="M6" s="14"/>
      <c r="N6" s="14"/>
    </row>
    <row r="7" spans="1:14" ht="18.75" x14ac:dyDescent="0.25">
      <c r="A7" s="14"/>
      <c r="B7" s="14"/>
      <c r="C7" s="63">
        <v>2013</v>
      </c>
      <c r="D7" s="63">
        <v>7</v>
      </c>
      <c r="E7" s="63">
        <v>8</v>
      </c>
      <c r="F7" s="63">
        <v>6</v>
      </c>
      <c r="G7" s="63">
        <v>1</v>
      </c>
      <c r="H7" s="63">
        <v>8</v>
      </c>
      <c r="I7" s="318" t="s">
        <v>114</v>
      </c>
      <c r="J7" s="318"/>
      <c r="K7" s="318"/>
      <c r="L7" s="319"/>
      <c r="M7" s="14"/>
      <c r="N7" s="14"/>
    </row>
    <row r="8" spans="1:14" ht="18.75" x14ac:dyDescent="0.25">
      <c r="A8" s="14"/>
      <c r="B8" s="14"/>
      <c r="C8" s="63">
        <v>2014</v>
      </c>
      <c r="D8" s="63">
        <v>4</v>
      </c>
      <c r="E8" s="63">
        <v>9</v>
      </c>
      <c r="F8" s="63">
        <v>4</v>
      </c>
      <c r="G8" s="63">
        <v>6</v>
      </c>
      <c r="H8" s="63">
        <v>9</v>
      </c>
      <c r="I8" s="320"/>
      <c r="J8" s="320"/>
      <c r="K8" s="320"/>
      <c r="L8" s="321"/>
      <c r="M8" s="97"/>
      <c r="N8" s="97"/>
    </row>
    <row r="9" spans="1:14" ht="19.5" thickBot="1" x14ac:dyDescent="0.3">
      <c r="A9" s="14"/>
      <c r="B9" s="14"/>
      <c r="C9" s="64">
        <v>2015</v>
      </c>
      <c r="D9" s="64">
        <v>2</v>
      </c>
      <c r="E9" s="64">
        <v>9</v>
      </c>
      <c r="F9" s="64">
        <v>3</v>
      </c>
      <c r="G9" s="64">
        <v>9</v>
      </c>
      <c r="H9" s="64">
        <v>6</v>
      </c>
      <c r="I9" s="322"/>
      <c r="J9" s="322"/>
      <c r="K9" s="322"/>
      <c r="L9" s="323"/>
      <c r="M9" s="97"/>
      <c r="N9" s="97"/>
    </row>
    <row r="10" spans="1:14" ht="15.75" customHeight="1" thickBot="1" x14ac:dyDescent="0.3">
      <c r="A10" s="14"/>
      <c r="B10" s="307" t="s">
        <v>115</v>
      </c>
      <c r="C10" s="300" t="s">
        <v>109</v>
      </c>
      <c r="D10" s="299">
        <f>MAX(Table5[Kenya])</f>
        <v>10</v>
      </c>
      <c r="E10" s="299">
        <f>MAX(Table5[Mexico])</f>
        <v>9</v>
      </c>
      <c r="F10" s="299">
        <f>MAX(Table5[Australia])</f>
        <v>8</v>
      </c>
      <c r="G10" s="299">
        <f>MAX(Table5[US])</f>
        <v>9</v>
      </c>
      <c r="H10" s="299">
        <f>MAX(Table5[Jamaica])</f>
        <v>9</v>
      </c>
      <c r="I10" s="305"/>
      <c r="J10" s="305"/>
      <c r="K10" s="305"/>
      <c r="L10" s="306"/>
      <c r="M10" s="97">
        <f>IF(I10="max",1,0)</f>
        <v>0</v>
      </c>
      <c r="N10" s="97"/>
    </row>
    <row r="11" spans="1:14" ht="15.75" customHeight="1" thickBot="1" x14ac:dyDescent="0.3">
      <c r="A11" s="14"/>
      <c r="B11" s="308"/>
      <c r="C11" s="300"/>
      <c r="D11" s="299"/>
      <c r="E11" s="299"/>
      <c r="F11" s="299"/>
      <c r="G11" s="299"/>
      <c r="H11" s="299"/>
      <c r="I11" s="324"/>
      <c r="J11" s="324"/>
      <c r="K11" s="324"/>
      <c r="L11" s="325"/>
      <c r="M11" s="97"/>
      <c r="N11" s="97"/>
    </row>
    <row r="12" spans="1:14" ht="15.75" customHeight="1" thickBot="1" x14ac:dyDescent="0.3">
      <c r="A12" s="14"/>
      <c r="B12" s="308"/>
      <c r="C12" s="300" t="s">
        <v>110</v>
      </c>
      <c r="D12" s="299">
        <f>AVERAGE(Table5[Kenya])</f>
        <v>5.75</v>
      </c>
      <c r="E12" s="299">
        <f>AVERAGE(Table5[Mexico])</f>
        <v>7.75</v>
      </c>
      <c r="F12" s="299">
        <f>AVERAGE(Table5[Australia])</f>
        <v>5.25</v>
      </c>
      <c r="G12" s="299">
        <f>AVERAGE(Table5[US])</f>
        <v>4.5</v>
      </c>
      <c r="H12" s="299">
        <f>AVERAGE(Table5[Jamaica])</f>
        <v>6.75</v>
      </c>
      <c r="I12" s="301"/>
      <c r="J12" s="302"/>
      <c r="K12" s="302"/>
      <c r="L12" s="303"/>
      <c r="M12" s="97">
        <f>IF(I12="average",1,0)</f>
        <v>0</v>
      </c>
      <c r="N12" s="97"/>
    </row>
    <row r="13" spans="1:14" ht="15.75" customHeight="1" thickBot="1" x14ac:dyDescent="0.3">
      <c r="A13" s="14"/>
      <c r="B13" s="308"/>
      <c r="C13" s="300"/>
      <c r="D13" s="299"/>
      <c r="E13" s="299"/>
      <c r="F13" s="299"/>
      <c r="G13" s="299"/>
      <c r="H13" s="299"/>
      <c r="I13" s="304"/>
      <c r="J13" s="305"/>
      <c r="K13" s="305"/>
      <c r="L13" s="306"/>
      <c r="M13" s="97"/>
      <c r="N13" s="97"/>
    </row>
    <row r="14" spans="1:14" ht="15.75" customHeight="1" thickBot="1" x14ac:dyDescent="0.3">
      <c r="A14" s="14"/>
      <c r="B14" s="308"/>
      <c r="C14" s="300" t="s">
        <v>111</v>
      </c>
      <c r="D14" s="299">
        <f>SUM(Table5[Kenya])</f>
        <v>23</v>
      </c>
      <c r="E14" s="299">
        <f>SUM(Table5[Mexico])</f>
        <v>31</v>
      </c>
      <c r="F14" s="299">
        <f>SUM(Table5[Australia])</f>
        <v>21</v>
      </c>
      <c r="G14" s="299">
        <f>SUM(Table5[US])</f>
        <v>18</v>
      </c>
      <c r="H14" s="299">
        <f>SUM(Table5[Jamaica])</f>
        <v>27</v>
      </c>
      <c r="I14" s="301"/>
      <c r="J14" s="302"/>
      <c r="K14" s="302"/>
      <c r="L14" s="303"/>
      <c r="M14" s="97">
        <f>IF(I14="sum",1,0)</f>
        <v>0</v>
      </c>
      <c r="N14" s="97"/>
    </row>
    <row r="15" spans="1:14" ht="15.75" customHeight="1" thickBot="1" x14ac:dyDescent="0.3">
      <c r="A15" s="14"/>
      <c r="B15" s="308"/>
      <c r="C15" s="300"/>
      <c r="D15" s="299"/>
      <c r="E15" s="299"/>
      <c r="F15" s="299"/>
      <c r="G15" s="299"/>
      <c r="H15" s="299"/>
      <c r="I15" s="304"/>
      <c r="J15" s="305"/>
      <c r="K15" s="305"/>
      <c r="L15" s="306"/>
      <c r="M15" s="97"/>
      <c r="N15" s="97"/>
    </row>
    <row r="16" spans="1:14" ht="15.75" customHeight="1" thickBot="1" x14ac:dyDescent="0.3">
      <c r="A16" s="14"/>
      <c r="B16" s="308"/>
      <c r="C16" s="300" t="s">
        <v>112</v>
      </c>
      <c r="D16" s="299">
        <f>COUNT(Table5[Kenya])</f>
        <v>4</v>
      </c>
      <c r="E16" s="299">
        <f>COUNT(Table5[Mexico])</f>
        <v>4</v>
      </c>
      <c r="F16" s="299">
        <f>COUNT(Table5[Australia])</f>
        <v>4</v>
      </c>
      <c r="G16" s="299">
        <f>COUNT(Table5[US])</f>
        <v>4</v>
      </c>
      <c r="H16" s="299">
        <f>COUNT(Table5[Jamaica])</f>
        <v>4</v>
      </c>
      <c r="I16" s="301"/>
      <c r="J16" s="302"/>
      <c r="K16" s="302"/>
      <c r="L16" s="303"/>
      <c r="M16" s="97">
        <f>IF(I16="count",1,0)</f>
        <v>0</v>
      </c>
      <c r="N16" s="97"/>
    </row>
    <row r="17" spans="1:14" ht="15.75" customHeight="1" thickBot="1" x14ac:dyDescent="0.3">
      <c r="A17" s="14"/>
      <c r="B17" s="308"/>
      <c r="C17" s="300"/>
      <c r="D17" s="299"/>
      <c r="E17" s="299"/>
      <c r="F17" s="299"/>
      <c r="G17" s="299"/>
      <c r="H17" s="299"/>
      <c r="I17" s="304"/>
      <c r="J17" s="305"/>
      <c r="K17" s="305"/>
      <c r="L17" s="306"/>
      <c r="M17" s="97"/>
      <c r="N17" s="97"/>
    </row>
    <row r="18" spans="1:14" ht="15.75" customHeight="1" thickBot="1" x14ac:dyDescent="0.3">
      <c r="A18" s="14"/>
      <c r="B18" s="308"/>
      <c r="C18" s="300" t="s">
        <v>113</v>
      </c>
      <c r="D18" s="299">
        <f>MIN(Table5[Kenya])</f>
        <v>2</v>
      </c>
      <c r="E18" s="299">
        <f>MIN(Table5[Mexico])</f>
        <v>5</v>
      </c>
      <c r="F18" s="299">
        <f>MIN(Table5[Australia])</f>
        <v>3</v>
      </c>
      <c r="G18" s="299">
        <f>MIN(Table5[US])</f>
        <v>1</v>
      </c>
      <c r="H18" s="299">
        <f>MIN(Table5[Jamaica])</f>
        <v>4</v>
      </c>
      <c r="I18" s="301"/>
      <c r="J18" s="302"/>
      <c r="K18" s="302"/>
      <c r="L18" s="303"/>
      <c r="M18" s="97">
        <f>IF(I18="min",1,0)</f>
        <v>0</v>
      </c>
      <c r="N18" s="97"/>
    </row>
    <row r="19" spans="1:14" ht="15.75" customHeight="1" thickBot="1" x14ac:dyDescent="0.3">
      <c r="A19" s="14"/>
      <c r="B19" s="309"/>
      <c r="C19" s="300"/>
      <c r="D19" s="299"/>
      <c r="E19" s="299"/>
      <c r="F19" s="299"/>
      <c r="G19" s="299"/>
      <c r="H19" s="299"/>
      <c r="I19" s="304"/>
      <c r="J19" s="305"/>
      <c r="K19" s="305"/>
      <c r="L19" s="306"/>
      <c r="M19" s="97"/>
      <c r="N19" s="97"/>
    </row>
    <row r="20" spans="1:14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97"/>
      <c r="N20" s="97"/>
    </row>
    <row r="21" spans="1:14" ht="16.5" thickTop="1" thickBot="1" x14ac:dyDescent="0.3">
      <c r="A21" s="14"/>
      <c r="B21" s="316" t="s">
        <v>117</v>
      </c>
      <c r="C21" s="316"/>
      <c r="D21" s="316"/>
      <c r="E21" s="316"/>
      <c r="F21" s="316"/>
      <c r="G21" s="316"/>
      <c r="H21" s="316"/>
      <c r="I21" s="14"/>
      <c r="J21" s="14"/>
      <c r="K21" s="14"/>
      <c r="L21" s="14"/>
      <c r="M21" s="97"/>
      <c r="N21" s="97"/>
    </row>
    <row r="22" spans="1:14" ht="16.5" thickTop="1" thickBot="1" x14ac:dyDescent="0.3">
      <c r="A22" s="14"/>
      <c r="B22" s="316"/>
      <c r="C22" s="316"/>
      <c r="D22" s="316"/>
      <c r="E22" s="316"/>
      <c r="F22" s="316"/>
      <c r="G22" s="316"/>
      <c r="H22" s="316"/>
      <c r="I22" s="14"/>
      <c r="J22" s="14"/>
      <c r="K22" s="14"/>
      <c r="L22" s="14"/>
      <c r="M22" s="97"/>
      <c r="N22" s="97"/>
    </row>
    <row r="23" spans="1:14" ht="16.5" thickTop="1" thickBot="1" x14ac:dyDescent="0.3">
      <c r="A23" s="14"/>
      <c r="B23" s="316"/>
      <c r="C23" s="316"/>
      <c r="D23" s="316"/>
      <c r="E23" s="316"/>
      <c r="F23" s="316"/>
      <c r="G23" s="316"/>
      <c r="H23" s="316"/>
      <c r="I23" s="14"/>
      <c r="J23" s="14"/>
      <c r="K23" s="14"/>
      <c r="L23" s="14"/>
      <c r="M23" s="97"/>
      <c r="N23" s="97"/>
    </row>
    <row r="24" spans="1:14" ht="16.5" thickTop="1" thickBot="1" x14ac:dyDescent="0.3">
      <c r="A24" s="14"/>
      <c r="B24" s="317">
        <v>1</v>
      </c>
      <c r="C24" s="317" t="s">
        <v>118</v>
      </c>
      <c r="D24" s="317"/>
      <c r="E24" s="317"/>
      <c r="F24" s="317"/>
      <c r="G24" s="326"/>
      <c r="H24" s="326"/>
      <c r="I24" s="14"/>
      <c r="J24" s="14"/>
      <c r="K24" s="14"/>
      <c r="L24" s="14"/>
      <c r="M24" s="97">
        <f>IF(G24=5,1,0)</f>
        <v>0</v>
      </c>
      <c r="N24" s="97"/>
    </row>
    <row r="25" spans="1:14" ht="16.5" thickTop="1" thickBot="1" x14ac:dyDescent="0.3">
      <c r="A25" s="14"/>
      <c r="B25" s="317"/>
      <c r="C25" s="317"/>
      <c r="D25" s="317"/>
      <c r="E25" s="317"/>
      <c r="F25" s="317"/>
      <c r="G25" s="326"/>
      <c r="H25" s="326"/>
      <c r="I25" s="14"/>
      <c r="J25" s="14"/>
      <c r="K25" s="14"/>
      <c r="L25" s="14"/>
      <c r="M25" s="97"/>
      <c r="N25" s="97"/>
    </row>
    <row r="26" spans="1:14" ht="16.5" thickTop="1" thickBot="1" x14ac:dyDescent="0.3">
      <c r="A26" s="14"/>
      <c r="B26" s="317">
        <v>2</v>
      </c>
      <c r="C26" s="317" t="s">
        <v>119</v>
      </c>
      <c r="D26" s="317"/>
      <c r="E26" s="317"/>
      <c r="F26" s="317"/>
      <c r="G26" s="326"/>
      <c r="H26" s="326"/>
      <c r="I26" s="14"/>
      <c r="J26" s="14"/>
      <c r="K26" s="14"/>
      <c r="L26" s="14"/>
      <c r="M26" s="97">
        <f>IF(G26=22,1,0)</f>
        <v>0</v>
      </c>
      <c r="N26" s="97"/>
    </row>
    <row r="27" spans="1:14" ht="16.5" thickTop="1" thickBot="1" x14ac:dyDescent="0.3">
      <c r="A27" s="14"/>
      <c r="B27" s="317"/>
      <c r="C27" s="317"/>
      <c r="D27" s="317"/>
      <c r="E27" s="317"/>
      <c r="F27" s="317"/>
      <c r="G27" s="326"/>
      <c r="H27" s="326"/>
      <c r="I27" s="14"/>
      <c r="J27" s="14"/>
      <c r="K27" s="14"/>
      <c r="L27" s="14"/>
      <c r="M27" s="97"/>
      <c r="N27" s="97"/>
    </row>
    <row r="28" spans="1:14" ht="16.5" thickTop="1" thickBot="1" x14ac:dyDescent="0.3">
      <c r="A28" s="14"/>
      <c r="B28" s="317">
        <v>3</v>
      </c>
      <c r="C28" s="317" t="s">
        <v>153</v>
      </c>
      <c r="D28" s="317"/>
      <c r="E28" s="317"/>
      <c r="F28" s="317"/>
      <c r="G28" s="326"/>
      <c r="H28" s="326"/>
      <c r="I28" s="14"/>
      <c r="J28" s="14"/>
      <c r="K28" s="14"/>
      <c r="L28" s="14"/>
      <c r="M28" s="97">
        <f>IF(G28=9,1,0)</f>
        <v>0</v>
      </c>
      <c r="N28" s="97"/>
    </row>
    <row r="29" spans="1:14" ht="16.5" thickTop="1" thickBot="1" x14ac:dyDescent="0.3">
      <c r="A29" s="14"/>
      <c r="B29" s="317"/>
      <c r="C29" s="317"/>
      <c r="D29" s="317"/>
      <c r="E29" s="317"/>
      <c r="F29" s="317"/>
      <c r="G29" s="326"/>
      <c r="H29" s="326"/>
      <c r="I29" s="14"/>
      <c r="J29" s="14"/>
      <c r="K29" s="14"/>
      <c r="L29" s="14"/>
      <c r="M29" s="97"/>
      <c r="N29" s="97"/>
    </row>
    <row r="30" spans="1:14" ht="15.75" thickTop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7">
        <f>SUM(M10:M28)</f>
        <v>0</v>
      </c>
      <c r="N30" s="97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7"/>
      <c r="N31" s="97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sheetProtection sheet="1" objects="1" scenarios="1" selectLockedCells="1"/>
  <mergeCells count="48">
    <mergeCell ref="B28:B29"/>
    <mergeCell ref="C24:F25"/>
    <mergeCell ref="C26:F27"/>
    <mergeCell ref="C28:F29"/>
    <mergeCell ref="G24:H25"/>
    <mergeCell ref="G26:H27"/>
    <mergeCell ref="G28:H29"/>
    <mergeCell ref="B26:B27"/>
    <mergeCell ref="I18:L19"/>
    <mergeCell ref="B10:B19"/>
    <mergeCell ref="C3:H4"/>
    <mergeCell ref="B21:H23"/>
    <mergeCell ref="B24:B25"/>
    <mergeCell ref="D18:D19"/>
    <mergeCell ref="E18:E19"/>
    <mergeCell ref="F18:F19"/>
    <mergeCell ref="G18:G19"/>
    <mergeCell ref="H18:H19"/>
    <mergeCell ref="I7:L9"/>
    <mergeCell ref="I10:L11"/>
    <mergeCell ref="I12:L13"/>
    <mergeCell ref="I14:L15"/>
    <mergeCell ref="I16:L17"/>
    <mergeCell ref="G14:G15"/>
    <mergeCell ref="H14:H15"/>
    <mergeCell ref="D16:D17"/>
    <mergeCell ref="E16:E17"/>
    <mergeCell ref="F16:F17"/>
    <mergeCell ref="G16:G17"/>
    <mergeCell ref="H16:H17"/>
    <mergeCell ref="C18:C19"/>
    <mergeCell ref="D10:D11"/>
    <mergeCell ref="E10:E11"/>
    <mergeCell ref="F10:F11"/>
    <mergeCell ref="G10:G11"/>
    <mergeCell ref="C10:C11"/>
    <mergeCell ref="C12:C13"/>
    <mergeCell ref="C14:C15"/>
    <mergeCell ref="C16:C17"/>
    <mergeCell ref="D12:D13"/>
    <mergeCell ref="D14:D15"/>
    <mergeCell ref="E14:E15"/>
    <mergeCell ref="F14:F15"/>
    <mergeCell ref="H10:H11"/>
    <mergeCell ref="H12:H13"/>
    <mergeCell ref="G12:G13"/>
    <mergeCell ref="F12:F13"/>
    <mergeCell ref="E12:E13"/>
  </mergeCells>
  <conditionalFormatting sqref="I10:L11">
    <cfRule type="cellIs" dxfId="25" priority="9" operator="equal">
      <formula>"MAX"</formula>
    </cfRule>
  </conditionalFormatting>
  <conditionalFormatting sqref="I12:L13">
    <cfRule type="cellIs" dxfId="24" priority="8" operator="equal">
      <formula>"AVERAGE"</formula>
    </cfRule>
  </conditionalFormatting>
  <conditionalFormatting sqref="I14:L15">
    <cfRule type="cellIs" dxfId="23" priority="7" operator="equal">
      <formula>"SUM"</formula>
    </cfRule>
  </conditionalFormatting>
  <conditionalFormatting sqref="I16:L17">
    <cfRule type="cellIs" dxfId="22" priority="6" operator="equal">
      <formula>"COUNT"</formula>
    </cfRule>
  </conditionalFormatting>
  <conditionalFormatting sqref="I18:L19">
    <cfRule type="cellIs" dxfId="21" priority="5" operator="equal">
      <formula>"MIN"</formula>
    </cfRule>
  </conditionalFormatting>
  <conditionalFormatting sqref="G24:H25">
    <cfRule type="cellIs" dxfId="20" priority="4" operator="equal">
      <formula>5</formula>
    </cfRule>
  </conditionalFormatting>
  <conditionalFormatting sqref="G26:H27">
    <cfRule type="cellIs" dxfId="19" priority="2" operator="equal">
      <formula>22</formula>
    </cfRule>
  </conditionalFormatting>
  <conditionalFormatting sqref="G28:H29">
    <cfRule type="cellIs" dxfId="18" priority="1" operator="equal">
      <formula>9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H1" zoomScaleNormal="100" workbookViewId="0">
      <selection activeCell="I15" sqref="I15:L16"/>
    </sheetView>
  </sheetViews>
  <sheetFormatPr defaultRowHeight="15" x14ac:dyDescent="0.25"/>
  <cols>
    <col min="1" max="1" width="1.7109375" customWidth="1"/>
    <col min="2" max="3" width="4.28515625" customWidth="1"/>
    <col min="4" max="4" width="19.85546875" bestFit="1" customWidth="1"/>
    <col min="5" max="5" width="20.140625" bestFit="1" customWidth="1"/>
    <col min="6" max="6" width="9.7109375" customWidth="1"/>
    <col min="7" max="7" width="9.140625" customWidth="1"/>
    <col min="8" max="8" width="4.28515625" customWidth="1"/>
    <col min="13" max="13" width="2.7109375" customWidth="1"/>
    <col min="14" max="15" width="3.7109375" customWidth="1"/>
    <col min="16" max="16" width="6.7109375" customWidth="1"/>
    <col min="17" max="17" width="4.42578125" customWidth="1"/>
    <col min="18" max="18" width="4.85546875" customWidth="1"/>
    <col min="19" max="19" width="7.28515625" customWidth="1"/>
    <col min="21" max="21" width="6.7109375" customWidth="1"/>
    <col min="24" max="24" width="9.42578125" customWidth="1"/>
    <col min="27" max="27" width="6.5703125" customWidth="1"/>
    <col min="28" max="28" width="25.85546875" customWidth="1"/>
  </cols>
  <sheetData>
    <row r="1" spans="1:28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" customHeight="1" x14ac:dyDescent="0.25">
      <c r="A2" s="14"/>
      <c r="B2" s="363" t="s">
        <v>150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5"/>
      <c r="AB2" s="14"/>
    </row>
    <row r="3" spans="1:28" ht="15" customHeight="1" thickBot="1" x14ac:dyDescent="0.3">
      <c r="A3" s="14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8"/>
      <c r="AB3" s="14"/>
    </row>
    <row r="4" spans="1:28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.75" thickBot="1" x14ac:dyDescent="0.3">
      <c r="A5" s="14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14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14"/>
    </row>
    <row r="6" spans="1:28" ht="24.75" customHeight="1" thickBot="1" x14ac:dyDescent="0.3">
      <c r="A6" s="14"/>
      <c r="B6" s="73"/>
      <c r="C6" s="56"/>
      <c r="D6" s="60" t="s">
        <v>109</v>
      </c>
      <c r="E6" s="60" t="s">
        <v>151</v>
      </c>
      <c r="F6" s="60" t="s">
        <v>111</v>
      </c>
      <c r="G6" s="60" t="s">
        <v>112</v>
      </c>
      <c r="H6" s="56"/>
      <c r="I6" s="392" t="s">
        <v>145</v>
      </c>
      <c r="J6" s="393"/>
      <c r="K6" s="393"/>
      <c r="L6" s="394"/>
      <c r="M6" s="78"/>
      <c r="N6" s="14"/>
      <c r="O6" s="73"/>
      <c r="P6" s="386" t="s">
        <v>149</v>
      </c>
      <c r="Q6" s="387"/>
      <c r="R6" s="387"/>
      <c r="S6" s="387"/>
      <c r="T6" s="387"/>
      <c r="U6" s="387"/>
      <c r="V6" s="387"/>
      <c r="W6" s="387"/>
      <c r="X6" s="387"/>
      <c r="Y6" s="387"/>
      <c r="Z6" s="388"/>
      <c r="AA6" s="74"/>
      <c r="AB6" s="14"/>
    </row>
    <row r="7" spans="1:28" ht="21" customHeight="1" thickBot="1" x14ac:dyDescent="0.3">
      <c r="A7" s="14"/>
      <c r="B7" s="73"/>
      <c r="C7" s="88">
        <v>1</v>
      </c>
      <c r="D7" s="103" t="s">
        <v>123</v>
      </c>
      <c r="E7" s="104" t="s">
        <v>124</v>
      </c>
      <c r="F7" s="104" t="s">
        <v>125</v>
      </c>
      <c r="G7" s="104" t="s">
        <v>126</v>
      </c>
      <c r="H7" s="56"/>
      <c r="I7" s="392"/>
      <c r="J7" s="393"/>
      <c r="K7" s="393"/>
      <c r="L7" s="394"/>
      <c r="M7" s="78"/>
      <c r="N7" s="97"/>
      <c r="O7" s="73"/>
      <c r="P7" s="389"/>
      <c r="Q7" s="390"/>
      <c r="R7" s="390"/>
      <c r="S7" s="390"/>
      <c r="T7" s="390"/>
      <c r="U7" s="390"/>
      <c r="V7" s="390"/>
      <c r="W7" s="390"/>
      <c r="X7" s="390"/>
      <c r="Y7" s="390"/>
      <c r="Z7" s="391"/>
      <c r="AA7" s="74"/>
      <c r="AB7" s="14"/>
    </row>
    <row r="8" spans="1:28" ht="21" customHeight="1" x14ac:dyDescent="0.25">
      <c r="A8" s="14"/>
      <c r="B8" s="73"/>
      <c r="C8" s="88">
        <v>2</v>
      </c>
      <c r="D8" s="86" t="s">
        <v>140</v>
      </c>
      <c r="E8" s="66" t="s">
        <v>141</v>
      </c>
      <c r="F8" s="66">
        <v>14</v>
      </c>
      <c r="G8" s="66">
        <v>9</v>
      </c>
      <c r="H8" s="56"/>
      <c r="I8" s="338"/>
      <c r="J8" s="339"/>
      <c r="K8" s="339"/>
      <c r="L8" s="340"/>
      <c r="M8" s="78"/>
      <c r="N8" s="97"/>
      <c r="O8" s="73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74"/>
      <c r="AB8" s="14"/>
    </row>
    <row r="9" spans="1:28" ht="15.75" customHeight="1" x14ac:dyDescent="0.25">
      <c r="A9" s="14"/>
      <c r="B9" s="73"/>
      <c r="C9" s="88">
        <v>3</v>
      </c>
      <c r="D9" s="87" t="s">
        <v>133</v>
      </c>
      <c r="E9" s="65" t="s">
        <v>143</v>
      </c>
      <c r="F9" s="65">
        <v>17</v>
      </c>
      <c r="G9" s="65">
        <v>11</v>
      </c>
      <c r="H9" s="56"/>
      <c r="I9" s="341"/>
      <c r="J9" s="342"/>
      <c r="K9" s="342"/>
      <c r="L9" s="343"/>
      <c r="M9" s="79"/>
      <c r="N9" s="97">
        <f>IF(I8="student first name",1,0)</f>
        <v>0</v>
      </c>
      <c r="O9" s="73"/>
      <c r="P9" s="56"/>
      <c r="Q9" s="349" t="s">
        <v>109</v>
      </c>
      <c r="R9" s="56"/>
      <c r="S9" s="56"/>
      <c r="T9" s="336" t="s">
        <v>111</v>
      </c>
      <c r="U9" s="336"/>
      <c r="V9" s="336"/>
      <c r="W9" s="56"/>
      <c r="X9" s="56"/>
      <c r="Y9" s="56"/>
      <c r="Z9" s="56"/>
      <c r="AA9" s="74"/>
      <c r="AB9" s="14"/>
    </row>
    <row r="10" spans="1:28" ht="15.75" customHeight="1" thickBot="1" x14ac:dyDescent="0.3">
      <c r="A10" s="14"/>
      <c r="B10" s="73"/>
      <c r="C10" s="88">
        <v>4</v>
      </c>
      <c r="D10" s="86" t="s">
        <v>131</v>
      </c>
      <c r="E10" s="66" t="s">
        <v>139</v>
      </c>
      <c r="F10" s="66">
        <v>16</v>
      </c>
      <c r="G10" s="66">
        <v>11</v>
      </c>
      <c r="H10" s="56"/>
      <c r="I10" s="344"/>
      <c r="J10" s="345"/>
      <c r="K10" s="345"/>
      <c r="L10" s="346"/>
      <c r="M10" s="79"/>
      <c r="N10" s="97">
        <f>IF(I8="b",1,0)</f>
        <v>0</v>
      </c>
      <c r="O10" s="73"/>
      <c r="P10" s="56"/>
      <c r="Q10" s="349"/>
      <c r="R10" s="56"/>
      <c r="S10" s="56"/>
      <c r="T10" s="336"/>
      <c r="U10" s="336"/>
      <c r="V10" s="336"/>
      <c r="W10" s="56"/>
      <c r="X10" s="56"/>
      <c r="Y10" s="56"/>
      <c r="Z10" s="56"/>
      <c r="AA10" s="74"/>
      <c r="AB10" s="14"/>
    </row>
    <row r="11" spans="1:28" ht="15.75" thickBot="1" x14ac:dyDescent="0.3">
      <c r="A11" s="14"/>
      <c r="B11" s="73"/>
      <c r="C11" s="88">
        <v>5</v>
      </c>
      <c r="D11" s="87" t="s">
        <v>129</v>
      </c>
      <c r="E11" s="65" t="s">
        <v>137</v>
      </c>
      <c r="F11" s="65">
        <v>14</v>
      </c>
      <c r="G11" s="65">
        <v>8</v>
      </c>
      <c r="H11" s="56"/>
      <c r="I11" s="56"/>
      <c r="J11" s="56"/>
      <c r="K11" s="56"/>
      <c r="L11" s="56"/>
      <c r="M11" s="74"/>
      <c r="N11" s="97"/>
      <c r="O11" s="73"/>
      <c r="P11" s="56"/>
      <c r="Q11" s="62"/>
      <c r="R11" s="62"/>
      <c r="S11" s="62"/>
      <c r="T11" s="62"/>
      <c r="U11" s="62"/>
      <c r="V11" s="62"/>
      <c r="W11" s="62"/>
      <c r="X11" s="62"/>
      <c r="Y11" s="62"/>
      <c r="Z11" s="56"/>
      <c r="AA11" s="74"/>
      <c r="AB11" s="14"/>
    </row>
    <row r="12" spans="1:28" ht="15" customHeight="1" thickBot="1" x14ac:dyDescent="0.3">
      <c r="A12" s="14"/>
      <c r="B12" s="73"/>
      <c r="C12" s="88">
        <v>6</v>
      </c>
      <c r="D12" s="86" t="s">
        <v>132</v>
      </c>
      <c r="E12" s="66" t="s">
        <v>142</v>
      </c>
      <c r="F12" s="66">
        <v>15</v>
      </c>
      <c r="G12" s="66">
        <v>10</v>
      </c>
      <c r="H12" s="56"/>
      <c r="I12" s="356" t="s">
        <v>146</v>
      </c>
      <c r="J12" s="357"/>
      <c r="K12" s="357"/>
      <c r="L12" s="358"/>
      <c r="M12" s="80"/>
      <c r="N12" s="97"/>
      <c r="O12" s="73"/>
      <c r="P12" s="56"/>
      <c r="Q12" s="62"/>
      <c r="R12" s="62"/>
      <c r="S12" s="62"/>
      <c r="T12" s="62"/>
      <c r="U12" s="62"/>
      <c r="V12" s="62"/>
      <c r="W12" s="62"/>
      <c r="X12" s="62"/>
      <c r="Y12" s="62"/>
      <c r="Z12" s="370" t="s">
        <v>112</v>
      </c>
      <c r="AA12" s="74"/>
      <c r="AB12" s="14"/>
    </row>
    <row r="13" spans="1:28" ht="15" customHeight="1" thickBot="1" x14ac:dyDescent="0.3">
      <c r="A13" s="14"/>
      <c r="B13" s="73"/>
      <c r="C13" s="88">
        <v>7</v>
      </c>
      <c r="D13" s="87" t="s">
        <v>134</v>
      </c>
      <c r="E13" s="65" t="s">
        <v>144</v>
      </c>
      <c r="F13" s="65">
        <v>16</v>
      </c>
      <c r="G13" s="65">
        <v>11</v>
      </c>
      <c r="H13" s="56"/>
      <c r="I13" s="356"/>
      <c r="J13" s="357"/>
      <c r="K13" s="357"/>
      <c r="L13" s="358"/>
      <c r="M13" s="80"/>
      <c r="N13" s="97"/>
      <c r="O13" s="73"/>
      <c r="P13" s="56"/>
      <c r="Q13" s="62"/>
      <c r="R13" s="62"/>
      <c r="S13" s="62"/>
      <c r="T13" s="62"/>
      <c r="U13" s="62"/>
      <c r="V13" s="62"/>
      <c r="W13" s="62"/>
      <c r="X13" s="62"/>
      <c r="Y13" s="62"/>
      <c r="Z13" s="370"/>
      <c r="AA13" s="74"/>
      <c r="AB13" s="14"/>
    </row>
    <row r="14" spans="1:28" ht="21.75" thickBot="1" x14ac:dyDescent="0.3">
      <c r="A14" s="14"/>
      <c r="B14" s="73"/>
      <c r="C14" s="88">
        <v>8</v>
      </c>
      <c r="D14" s="86" t="s">
        <v>127</v>
      </c>
      <c r="E14" s="66" t="s">
        <v>135</v>
      </c>
      <c r="F14" s="66">
        <v>15</v>
      </c>
      <c r="G14" s="66">
        <v>9</v>
      </c>
      <c r="H14" s="56"/>
      <c r="I14" s="356"/>
      <c r="J14" s="357"/>
      <c r="K14" s="357"/>
      <c r="L14" s="358"/>
      <c r="M14" s="80"/>
      <c r="N14" s="97"/>
      <c r="O14" s="73"/>
      <c r="P14" s="56"/>
      <c r="Q14" s="62"/>
      <c r="R14" s="62"/>
      <c r="S14" s="62"/>
      <c r="T14" s="62"/>
      <c r="U14" s="62"/>
      <c r="V14" s="62"/>
      <c r="W14" s="62"/>
      <c r="X14" s="62"/>
      <c r="Y14" s="62"/>
      <c r="Z14" s="370"/>
      <c r="AA14" s="74"/>
      <c r="AB14" s="14"/>
    </row>
    <row r="15" spans="1:28" ht="15.75" thickBot="1" x14ac:dyDescent="0.3">
      <c r="A15" s="14"/>
      <c r="B15" s="73"/>
      <c r="C15" s="88">
        <v>9</v>
      </c>
      <c r="D15" s="87" t="s">
        <v>128</v>
      </c>
      <c r="E15" s="65" t="s">
        <v>136</v>
      </c>
      <c r="F15" s="65">
        <v>18</v>
      </c>
      <c r="G15" s="65">
        <v>12</v>
      </c>
      <c r="H15" s="56"/>
      <c r="I15" s="359"/>
      <c r="J15" s="360"/>
      <c r="K15" s="360"/>
      <c r="L15" s="361"/>
      <c r="M15" s="81"/>
      <c r="N15" s="97">
        <f>IF(I15="B9",1,0)</f>
        <v>0</v>
      </c>
      <c r="O15" s="73"/>
      <c r="P15" s="56"/>
      <c r="Q15" s="62"/>
      <c r="R15" s="62"/>
      <c r="S15" s="62"/>
      <c r="T15" s="62"/>
      <c r="U15" s="62"/>
      <c r="V15" s="62"/>
      <c r="W15" s="62"/>
      <c r="X15" s="62"/>
      <c r="Y15" s="62"/>
      <c r="Z15" s="56"/>
      <c r="AA15" s="74"/>
      <c r="AB15" s="14"/>
    </row>
    <row r="16" spans="1:28" ht="15.75" customHeight="1" thickBot="1" x14ac:dyDescent="0.3">
      <c r="A16" s="14"/>
      <c r="B16" s="73"/>
      <c r="C16" s="88">
        <v>10</v>
      </c>
      <c r="D16" s="86" t="s">
        <v>130</v>
      </c>
      <c r="E16" s="66" t="s">
        <v>138</v>
      </c>
      <c r="F16" s="66">
        <v>13</v>
      </c>
      <c r="G16" s="66">
        <v>7</v>
      </c>
      <c r="H16" s="56"/>
      <c r="I16" s="359"/>
      <c r="J16" s="360"/>
      <c r="K16" s="360"/>
      <c r="L16" s="361"/>
      <c r="M16" s="81"/>
      <c r="N16" s="97"/>
      <c r="O16" s="73"/>
      <c r="P16" s="84"/>
      <c r="Q16" s="62"/>
      <c r="R16" s="62"/>
      <c r="S16" s="62"/>
      <c r="T16" s="62"/>
      <c r="U16" s="62"/>
      <c r="V16" s="62"/>
      <c r="W16" s="62"/>
      <c r="X16" s="62"/>
      <c r="Y16" s="62"/>
      <c r="Z16" s="56"/>
      <c r="AA16" s="74"/>
      <c r="AB16" s="14"/>
    </row>
    <row r="17" spans="1:28" ht="12.75" customHeight="1" thickBot="1" x14ac:dyDescent="0.3">
      <c r="A17" s="14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97"/>
      <c r="O17" s="73"/>
      <c r="P17" s="337"/>
      <c r="Q17" s="62"/>
      <c r="R17" s="62"/>
      <c r="S17" s="62"/>
      <c r="T17" s="62"/>
      <c r="U17" s="62"/>
      <c r="V17" s="62"/>
      <c r="W17" s="62"/>
      <c r="X17" s="62"/>
      <c r="Y17" s="62"/>
      <c r="Z17" s="56"/>
      <c r="AA17" s="74"/>
      <c r="AB17" s="14"/>
    </row>
    <row r="18" spans="1:28" ht="12.75" customHeight="1" thickBo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7"/>
      <c r="O18" s="73"/>
      <c r="P18" s="337"/>
      <c r="Q18" s="62"/>
      <c r="R18" s="62"/>
      <c r="S18" s="62"/>
      <c r="T18" s="62"/>
      <c r="U18" s="62"/>
      <c r="V18" s="62"/>
      <c r="W18" s="62"/>
      <c r="X18" s="62"/>
      <c r="Y18" s="62"/>
      <c r="Z18" s="56"/>
      <c r="AA18" s="74"/>
      <c r="AB18" s="14"/>
    </row>
    <row r="19" spans="1:28" ht="15.75" customHeight="1" x14ac:dyDescent="0.25">
      <c r="A19" s="14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97"/>
      <c r="O19" s="73"/>
      <c r="P19" s="369" t="s">
        <v>110</v>
      </c>
      <c r="Q19" s="62"/>
      <c r="R19" s="62"/>
      <c r="S19" s="62"/>
      <c r="T19" s="62"/>
      <c r="U19" s="62"/>
      <c r="V19" s="62"/>
      <c r="W19" s="62"/>
      <c r="X19" s="62"/>
      <c r="Y19" s="62"/>
      <c r="Z19" s="56"/>
      <c r="AA19" s="74"/>
      <c r="AB19" s="14"/>
    </row>
    <row r="20" spans="1:28" ht="15.75" customHeight="1" thickBot="1" x14ac:dyDescent="0.3">
      <c r="A20" s="14"/>
      <c r="B20" s="7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74"/>
      <c r="N20" s="97"/>
      <c r="O20" s="73"/>
      <c r="P20" s="369"/>
      <c r="Q20" s="62"/>
      <c r="R20" s="62"/>
      <c r="S20" s="62"/>
      <c r="T20" s="62"/>
      <c r="U20" s="62"/>
      <c r="V20" s="62"/>
      <c r="W20" s="62"/>
      <c r="X20" s="62"/>
      <c r="Y20" s="62"/>
      <c r="Z20" s="56"/>
      <c r="AA20" s="74"/>
      <c r="AB20" s="14"/>
    </row>
    <row r="21" spans="1:28" ht="27.75" customHeight="1" x14ac:dyDescent="0.25">
      <c r="A21" s="14"/>
      <c r="B21" s="73"/>
      <c r="C21" s="56"/>
      <c r="D21" s="60" t="s">
        <v>109</v>
      </c>
      <c r="E21" s="60" t="s">
        <v>151</v>
      </c>
      <c r="F21" s="60" t="s">
        <v>111</v>
      </c>
      <c r="G21" s="60" t="s">
        <v>112</v>
      </c>
      <c r="H21" s="56"/>
      <c r="I21" s="371" t="s">
        <v>147</v>
      </c>
      <c r="J21" s="372"/>
      <c r="K21" s="372"/>
      <c r="L21" s="373"/>
      <c r="M21" s="80"/>
      <c r="N21" s="97"/>
      <c r="O21" s="73"/>
      <c r="P21" s="56"/>
      <c r="Q21" s="62"/>
      <c r="R21" s="62"/>
      <c r="S21" s="62"/>
      <c r="T21" s="62"/>
      <c r="U21" s="62"/>
      <c r="V21" s="62"/>
      <c r="W21" s="62"/>
      <c r="X21" s="62"/>
      <c r="Y21" s="62"/>
      <c r="Z21" s="56"/>
      <c r="AA21" s="74"/>
      <c r="AB21" s="14"/>
    </row>
    <row r="22" spans="1:28" ht="27.75" customHeight="1" thickBot="1" x14ac:dyDescent="0.3">
      <c r="A22" s="14"/>
      <c r="B22" s="73"/>
      <c r="C22" s="89">
        <v>1</v>
      </c>
      <c r="D22" s="105" t="s">
        <v>123</v>
      </c>
      <c r="E22" s="105" t="s">
        <v>124</v>
      </c>
      <c r="F22" s="105" t="s">
        <v>125</v>
      </c>
      <c r="G22" s="105" t="s">
        <v>126</v>
      </c>
      <c r="H22" s="56"/>
      <c r="I22" s="374"/>
      <c r="J22" s="375"/>
      <c r="K22" s="375"/>
      <c r="L22" s="376"/>
      <c r="M22" s="80"/>
      <c r="N22" s="97"/>
      <c r="O22" s="73"/>
      <c r="P22" s="56"/>
      <c r="Q22" s="62"/>
      <c r="R22" s="62"/>
      <c r="S22" s="62"/>
      <c r="T22" s="62"/>
      <c r="U22" s="62"/>
      <c r="V22" s="62"/>
      <c r="W22" s="62"/>
      <c r="X22" s="62"/>
      <c r="Y22" s="62"/>
      <c r="Z22" s="56"/>
      <c r="AA22" s="74"/>
      <c r="AB22" s="14"/>
    </row>
    <row r="23" spans="1:28" ht="15" customHeight="1" x14ac:dyDescent="0.25">
      <c r="A23" s="14"/>
      <c r="B23" s="73"/>
      <c r="C23" s="89">
        <v>2</v>
      </c>
      <c r="D23" s="68" t="s">
        <v>130</v>
      </c>
      <c r="E23" s="68" t="s">
        <v>138</v>
      </c>
      <c r="F23" s="68">
        <v>13</v>
      </c>
      <c r="G23" s="68">
        <v>7</v>
      </c>
      <c r="H23" s="56"/>
      <c r="I23" s="377"/>
      <c r="J23" s="378"/>
      <c r="K23" s="378"/>
      <c r="L23" s="379"/>
      <c r="M23" s="80"/>
      <c r="N23" s="97">
        <f>IF(I23="D",1,0)</f>
        <v>0</v>
      </c>
      <c r="O23" s="73"/>
      <c r="P23" s="56"/>
      <c r="Q23" s="62"/>
      <c r="R23" s="62"/>
      <c r="S23" s="62"/>
      <c r="T23" s="62"/>
      <c r="U23" s="62"/>
      <c r="V23" s="62"/>
      <c r="W23" s="62"/>
      <c r="X23" s="62"/>
      <c r="Y23" s="62"/>
      <c r="Z23" s="362" t="s">
        <v>113</v>
      </c>
      <c r="AA23" s="74"/>
      <c r="AB23" s="14"/>
    </row>
    <row r="24" spans="1:28" ht="15" customHeight="1" thickBot="1" x14ac:dyDescent="0.3">
      <c r="A24" s="14"/>
      <c r="B24" s="73"/>
      <c r="C24" s="89">
        <v>3</v>
      </c>
      <c r="D24" s="67" t="s">
        <v>129</v>
      </c>
      <c r="E24" s="67" t="s">
        <v>137</v>
      </c>
      <c r="F24" s="67">
        <v>14</v>
      </c>
      <c r="G24" s="67">
        <v>8</v>
      </c>
      <c r="H24" s="56"/>
      <c r="I24" s="380"/>
      <c r="J24" s="381"/>
      <c r="K24" s="381"/>
      <c r="L24" s="382"/>
      <c r="M24" s="82"/>
      <c r="N24" s="97">
        <f>IF(Q25="c",1,0)</f>
        <v>0</v>
      </c>
      <c r="O24" s="73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362"/>
      <c r="AA24" s="74"/>
      <c r="AB24" s="14"/>
    </row>
    <row r="25" spans="1:28" ht="15.75" customHeight="1" thickBot="1" x14ac:dyDescent="0.3">
      <c r="A25" s="14"/>
      <c r="B25" s="73"/>
      <c r="C25" s="89">
        <v>4</v>
      </c>
      <c r="D25" s="68" t="s">
        <v>140</v>
      </c>
      <c r="E25" s="68" t="s">
        <v>141</v>
      </c>
      <c r="F25" s="68">
        <v>15</v>
      </c>
      <c r="G25" s="68">
        <v>9</v>
      </c>
      <c r="H25" s="56"/>
      <c r="I25" s="383"/>
      <c r="J25" s="384"/>
      <c r="K25" s="384"/>
      <c r="L25" s="385"/>
      <c r="M25" s="82"/>
      <c r="N25" s="97">
        <f>IF(Q27="a",1,0)</f>
        <v>0</v>
      </c>
      <c r="O25" s="73"/>
      <c r="P25" s="56"/>
      <c r="Q25" s="347"/>
      <c r="R25" s="347"/>
      <c r="S25" s="348" t="s">
        <v>165</v>
      </c>
      <c r="T25" s="348"/>
      <c r="U25" s="348"/>
      <c r="V25" s="348"/>
      <c r="W25" s="348"/>
      <c r="X25" s="348"/>
      <c r="Y25" s="348"/>
      <c r="Z25" s="56"/>
      <c r="AA25" s="74"/>
      <c r="AB25" s="14"/>
    </row>
    <row r="26" spans="1:28" ht="15.75" customHeight="1" thickBot="1" x14ac:dyDescent="0.3">
      <c r="A26" s="14"/>
      <c r="B26" s="73"/>
      <c r="C26" s="89">
        <v>5</v>
      </c>
      <c r="D26" s="67" t="s">
        <v>127</v>
      </c>
      <c r="E26" s="67" t="s">
        <v>135</v>
      </c>
      <c r="F26" s="67">
        <v>14</v>
      </c>
      <c r="G26" s="67">
        <v>9</v>
      </c>
      <c r="H26" s="56"/>
      <c r="I26" s="69"/>
      <c r="J26" s="69"/>
      <c r="K26" s="69"/>
      <c r="L26" s="69"/>
      <c r="M26" s="83"/>
      <c r="N26" s="97">
        <f>IF(Q29="D",1,0)</f>
        <v>0</v>
      </c>
      <c r="O26" s="73"/>
      <c r="P26" s="56"/>
      <c r="Q26" s="347"/>
      <c r="R26" s="347"/>
      <c r="S26" s="348"/>
      <c r="T26" s="348"/>
      <c r="U26" s="348"/>
      <c r="V26" s="348"/>
      <c r="W26" s="348"/>
      <c r="X26" s="348"/>
      <c r="Y26" s="348"/>
      <c r="Z26" s="56"/>
      <c r="AA26" s="74"/>
      <c r="AB26" s="14"/>
    </row>
    <row r="27" spans="1:28" ht="21.75" thickBot="1" x14ac:dyDescent="0.3">
      <c r="A27" s="14"/>
      <c r="B27" s="73"/>
      <c r="C27" s="89">
        <v>6</v>
      </c>
      <c r="D27" s="68" t="s">
        <v>132</v>
      </c>
      <c r="E27" s="68" t="s">
        <v>142</v>
      </c>
      <c r="F27" s="68">
        <v>14</v>
      </c>
      <c r="G27" s="68">
        <v>10</v>
      </c>
      <c r="H27" s="56"/>
      <c r="I27" s="350" t="s">
        <v>148</v>
      </c>
      <c r="J27" s="351"/>
      <c r="K27" s="351"/>
      <c r="L27" s="352"/>
      <c r="M27" s="78"/>
      <c r="N27" s="97">
        <f>IF(Q31="b",1,0)</f>
        <v>0</v>
      </c>
      <c r="O27" s="73"/>
      <c r="P27" s="56"/>
      <c r="Q27" s="347"/>
      <c r="R27" s="347"/>
      <c r="S27" s="348" t="s">
        <v>166</v>
      </c>
      <c r="T27" s="348"/>
      <c r="U27" s="348"/>
      <c r="V27" s="348"/>
      <c r="W27" s="348"/>
      <c r="X27" s="348"/>
      <c r="Y27" s="348"/>
      <c r="Z27" s="56"/>
      <c r="AA27" s="74"/>
      <c r="AB27" s="14"/>
    </row>
    <row r="28" spans="1:28" ht="21.75" thickBot="1" x14ac:dyDescent="0.3">
      <c r="A28" s="14"/>
      <c r="B28" s="73"/>
      <c r="C28" s="89">
        <v>7</v>
      </c>
      <c r="D28" s="67" t="s">
        <v>133</v>
      </c>
      <c r="E28" s="67" t="s">
        <v>143</v>
      </c>
      <c r="F28" s="67">
        <v>17</v>
      </c>
      <c r="G28" s="67">
        <v>11</v>
      </c>
      <c r="H28" s="56"/>
      <c r="I28" s="350"/>
      <c r="J28" s="351"/>
      <c r="K28" s="351"/>
      <c r="L28" s="352"/>
      <c r="M28" s="78"/>
      <c r="N28" s="97"/>
      <c r="O28" s="73"/>
      <c r="P28" s="56"/>
      <c r="Q28" s="347"/>
      <c r="R28" s="347"/>
      <c r="S28" s="348"/>
      <c r="T28" s="348"/>
      <c r="U28" s="348"/>
      <c r="V28" s="348"/>
      <c r="W28" s="348"/>
      <c r="X28" s="348"/>
      <c r="Y28" s="348"/>
      <c r="Z28" s="56"/>
      <c r="AA28" s="74"/>
      <c r="AB28" s="14"/>
    </row>
    <row r="29" spans="1:28" ht="21.75" thickBot="1" x14ac:dyDescent="0.3">
      <c r="A29" s="14"/>
      <c r="B29" s="73"/>
      <c r="C29" s="89">
        <v>8</v>
      </c>
      <c r="D29" s="68" t="s">
        <v>131</v>
      </c>
      <c r="E29" s="68" t="s">
        <v>139</v>
      </c>
      <c r="F29" s="68">
        <v>16</v>
      </c>
      <c r="G29" s="68">
        <v>11</v>
      </c>
      <c r="H29" s="56"/>
      <c r="I29" s="353"/>
      <c r="J29" s="354"/>
      <c r="K29" s="354"/>
      <c r="L29" s="355"/>
      <c r="M29" s="78"/>
      <c r="N29" s="97"/>
      <c r="O29" s="73"/>
      <c r="P29" s="56"/>
      <c r="Q29" s="347"/>
      <c r="R29" s="347"/>
      <c r="S29" s="348" t="s">
        <v>167</v>
      </c>
      <c r="T29" s="348"/>
      <c r="U29" s="348"/>
      <c r="V29" s="348"/>
      <c r="W29" s="348"/>
      <c r="X29" s="348"/>
      <c r="Y29" s="348"/>
      <c r="Z29" s="56"/>
      <c r="AA29" s="74"/>
      <c r="AB29" s="14"/>
    </row>
    <row r="30" spans="1:28" ht="15.75" thickBot="1" x14ac:dyDescent="0.3">
      <c r="A30" s="14"/>
      <c r="B30" s="73"/>
      <c r="C30" s="89">
        <v>9</v>
      </c>
      <c r="D30" s="67" t="s">
        <v>134</v>
      </c>
      <c r="E30" s="67" t="s">
        <v>144</v>
      </c>
      <c r="F30" s="67">
        <v>16</v>
      </c>
      <c r="G30" s="67">
        <v>11</v>
      </c>
      <c r="H30" s="56"/>
      <c r="I30" s="327"/>
      <c r="J30" s="328"/>
      <c r="K30" s="328"/>
      <c r="L30" s="329"/>
      <c r="M30" s="81"/>
      <c r="N30" s="97">
        <f>IF(I30="b4:d8",1,0)</f>
        <v>0</v>
      </c>
      <c r="O30" s="73"/>
      <c r="P30" s="56"/>
      <c r="Q30" s="347"/>
      <c r="R30" s="347"/>
      <c r="S30" s="348"/>
      <c r="T30" s="348"/>
      <c r="U30" s="348"/>
      <c r="V30" s="348"/>
      <c r="W30" s="348"/>
      <c r="X30" s="348"/>
      <c r="Y30" s="348"/>
      <c r="Z30" s="56"/>
      <c r="AA30" s="74"/>
      <c r="AB30" s="14"/>
    </row>
    <row r="31" spans="1:28" ht="15.75" thickBot="1" x14ac:dyDescent="0.3">
      <c r="A31" s="14"/>
      <c r="B31" s="73"/>
      <c r="C31" s="89">
        <v>10</v>
      </c>
      <c r="D31" s="68" t="s">
        <v>128</v>
      </c>
      <c r="E31" s="68" t="s">
        <v>136</v>
      </c>
      <c r="F31" s="68">
        <v>18</v>
      </c>
      <c r="G31" s="68">
        <v>12</v>
      </c>
      <c r="H31" s="56"/>
      <c r="I31" s="330"/>
      <c r="J31" s="331"/>
      <c r="K31" s="331"/>
      <c r="L31" s="332"/>
      <c r="M31" s="81"/>
      <c r="N31" s="97"/>
      <c r="O31" s="73"/>
      <c r="P31" s="56"/>
      <c r="Q31" s="347"/>
      <c r="R31" s="347"/>
      <c r="S31" s="348" t="s">
        <v>168</v>
      </c>
      <c r="T31" s="348"/>
      <c r="U31" s="348"/>
      <c r="V31" s="348"/>
      <c r="W31" s="348"/>
      <c r="X31" s="348"/>
      <c r="Y31" s="348"/>
      <c r="Z31" s="56"/>
      <c r="AA31" s="74"/>
      <c r="AB31" s="14"/>
    </row>
    <row r="32" spans="1:28" ht="15.75" thickBot="1" x14ac:dyDescent="0.3">
      <c r="A32" s="14"/>
      <c r="B32" s="73"/>
      <c r="C32" s="56"/>
      <c r="D32" s="56"/>
      <c r="E32" s="56"/>
      <c r="F32" s="56"/>
      <c r="G32" s="56"/>
      <c r="H32" s="56"/>
      <c r="I32" s="333"/>
      <c r="J32" s="334"/>
      <c r="K32" s="334"/>
      <c r="L32" s="335"/>
      <c r="M32" s="81"/>
      <c r="N32" s="97"/>
      <c r="O32" s="73"/>
      <c r="P32" s="56"/>
      <c r="Q32" s="347"/>
      <c r="R32" s="347"/>
      <c r="S32" s="348"/>
      <c r="T32" s="348"/>
      <c r="U32" s="348"/>
      <c r="V32" s="348"/>
      <c r="W32" s="348"/>
      <c r="X32" s="348"/>
      <c r="Y32" s="348"/>
      <c r="Z32" s="56"/>
      <c r="AA32" s="74"/>
      <c r="AB32" s="14"/>
    </row>
    <row r="33" spans="1:28" x14ac:dyDescent="0.25">
      <c r="A33" s="14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74"/>
      <c r="N33" s="97"/>
      <c r="O33" s="73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4"/>
      <c r="AB33" s="14"/>
    </row>
    <row r="34" spans="1:28" ht="15.75" thickBot="1" x14ac:dyDescent="0.3">
      <c r="A34" s="1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97"/>
      <c r="O34" s="7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14"/>
    </row>
    <row r="35" spans="1:2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97">
        <f>SUM(N9:N33)</f>
        <v>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</sheetData>
  <sheetProtection sheet="1" objects="1" scenarios="1" selectLockedCells="1"/>
  <sortState ref="D5:G12">
    <sortCondition descending="1" ref="E4:E12"/>
  </sortState>
  <mergeCells count="24">
    <mergeCell ref="Z23:Z24"/>
    <mergeCell ref="B2:AA3"/>
    <mergeCell ref="P19:P20"/>
    <mergeCell ref="Z12:Z14"/>
    <mergeCell ref="I21:L22"/>
    <mergeCell ref="I23:L25"/>
    <mergeCell ref="P6:Z7"/>
    <mergeCell ref="I6:L7"/>
    <mergeCell ref="I30:L32"/>
    <mergeCell ref="T9:V10"/>
    <mergeCell ref="P17:P18"/>
    <mergeCell ref="I8:L10"/>
    <mergeCell ref="Q31:R32"/>
    <mergeCell ref="S25:Y26"/>
    <mergeCell ref="S27:Y28"/>
    <mergeCell ref="S29:Y30"/>
    <mergeCell ref="S31:Y32"/>
    <mergeCell ref="Q9:Q10"/>
    <mergeCell ref="Q25:R26"/>
    <mergeCell ref="Q27:R28"/>
    <mergeCell ref="Q29:R30"/>
    <mergeCell ref="I27:L29"/>
    <mergeCell ref="I12:L14"/>
    <mergeCell ref="I15:L16"/>
  </mergeCells>
  <conditionalFormatting sqref="I8:L10">
    <cfRule type="cellIs" dxfId="8" priority="14" operator="equal">
      <formula>"Student First Name"</formula>
    </cfRule>
    <cfRule type="cellIs" dxfId="7" priority="15" operator="equal">
      <formula>"B"</formula>
    </cfRule>
  </conditionalFormatting>
  <conditionalFormatting sqref="I15:L16">
    <cfRule type="cellIs" dxfId="6" priority="13" operator="equal">
      <formula>"B9"</formula>
    </cfRule>
  </conditionalFormatting>
  <conditionalFormatting sqref="I23:L25">
    <cfRule type="cellIs" dxfId="5" priority="12" operator="equal">
      <formula>"D"</formula>
    </cfRule>
  </conditionalFormatting>
  <conditionalFormatting sqref="Q25:R26">
    <cfRule type="cellIs" dxfId="4" priority="6" operator="equal">
      <formula>"c"</formula>
    </cfRule>
  </conditionalFormatting>
  <conditionalFormatting sqref="Q27:R28">
    <cfRule type="containsText" dxfId="3" priority="5" operator="containsText" text="A">
      <formula>NOT(ISERROR(SEARCH("A",Q27)))</formula>
    </cfRule>
  </conditionalFormatting>
  <conditionalFormatting sqref="Q29:R30">
    <cfRule type="containsText" dxfId="2" priority="4" operator="containsText" text="D">
      <formula>NOT(ISERROR(SEARCH("D",Q29)))</formula>
    </cfRule>
  </conditionalFormatting>
  <conditionalFormatting sqref="Q31:R32">
    <cfRule type="containsText" dxfId="1" priority="3" operator="containsText" text="B">
      <formula>NOT(ISERROR(SEARCH("B",Q31)))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5B62C44-0297-4329-9B4D-8E17FE8B8C64}">
            <xm:f>NOT(ISERROR(SEARCH("B4:D8",I30)))</xm:f>
            <xm:f>"B4:D8"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I30:L32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Score Card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asdteacher</dc:creator>
  <cp:lastModifiedBy>User</cp:lastModifiedBy>
  <cp:lastPrinted>2015-11-09T03:28:25Z</cp:lastPrinted>
  <dcterms:created xsi:type="dcterms:W3CDTF">2013-12-03T05:23:12Z</dcterms:created>
  <dcterms:modified xsi:type="dcterms:W3CDTF">2016-04-26T19:30:19Z</dcterms:modified>
</cp:coreProperties>
</file>